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5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omments3.xml" ContentType="application/vnd.openxmlformats-officedocument.spreadsheetml.comment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8.xml" ContentType="application/vnd.openxmlformats-officedocument.drawing+xml"/>
  <Override PartName="/xl/comments4.xml" ContentType="application/vnd.openxmlformats-officedocument.spreadsheetml.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1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2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lut-my.sharepoint.com/personal/vu_luong_lut_fi/Documents/2. LUT Doctoral School/8. Pilot/4. MBR lab-scale in LPR/20. Result/"/>
    </mc:Choice>
  </mc:AlternateContent>
  <xr:revisionPtr revIDLastSave="424" documentId="13_ncr:1_{6BF3C1C0-6662-4F44-AB47-4CA6C907A16E}" xr6:coauthVersionLast="47" xr6:coauthVersionMax="47" xr10:uidLastSave="{0FFBD99B-73F2-4B27-824F-907720AD7E06}"/>
  <bookViews>
    <workbookView xWindow="-108" yWindow="-108" windowWidth="23256" windowHeight="12720" xr2:uid="{00000000-000D-0000-FFFF-FFFF00000000}"/>
  </bookViews>
  <sheets>
    <sheet name="TOC-IC-pH" sheetId="1" r:id="rId1"/>
    <sheet name="MLSS-MLVSS (S1)" sheetId="2" r:id="rId2"/>
    <sheet name="Biogas composition" sheetId="3" r:id="rId3"/>
    <sheet name="Biogas production" sheetId="4" r:id="rId4"/>
    <sheet name="TOC-TN re-measurement " sheetId="5" r:id="rId5"/>
    <sheet name="PO4" sheetId="7" r:id="rId6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F192" i="1" l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B113" i="2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V158" i="1"/>
  <c r="N116" i="2"/>
  <c r="K116" i="2"/>
  <c r="AD113" i="2"/>
  <c r="AD116" i="2"/>
  <c r="AA113" i="2"/>
  <c r="AA116" i="2"/>
  <c r="N112" i="2"/>
  <c r="N113" i="2"/>
  <c r="N114" i="2"/>
  <c r="N115" i="2"/>
  <c r="N117" i="2"/>
  <c r="K113" i="2"/>
  <c r="K114" i="2"/>
  <c r="K115" i="2"/>
  <c r="O115" i="2" s="1"/>
  <c r="K117" i="2"/>
  <c r="AE119" i="2"/>
  <c r="AE120" i="2"/>
  <c r="AE121" i="2"/>
  <c r="O119" i="2"/>
  <c r="O120" i="2"/>
  <c r="O121" i="2"/>
  <c r="AE118" i="2"/>
  <c r="O118" i="2"/>
  <c r="O117" i="2" l="1"/>
  <c r="AE116" i="2"/>
  <c r="AE113" i="2"/>
  <c r="O113" i="2"/>
  <c r="O114" i="2"/>
  <c r="CH123" i="1" l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AH118" i="1" l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DF155" i="1" l="1"/>
  <c r="DV155" i="1" s="1"/>
  <c r="DF156" i="1"/>
  <c r="DV156" i="1" s="1"/>
  <c r="DF157" i="1"/>
  <c r="DV157" i="1" s="1"/>
  <c r="DF158" i="1"/>
  <c r="DV158" i="1" s="1"/>
  <c r="DF159" i="1"/>
  <c r="DV159" i="1" s="1"/>
  <c r="DF160" i="1"/>
  <c r="DV160" i="1" s="1"/>
  <c r="DF161" i="1"/>
  <c r="DV161" i="1" s="1"/>
  <c r="DF162" i="1"/>
  <c r="DV162" i="1" s="1"/>
  <c r="DF163" i="1"/>
  <c r="DV163" i="1" s="1"/>
  <c r="DF164" i="1"/>
  <c r="DV164" i="1" s="1"/>
  <c r="DF165" i="1"/>
  <c r="DV165" i="1" s="1"/>
  <c r="DF166" i="1"/>
  <c r="DV166" i="1" s="1"/>
  <c r="DF167" i="1"/>
  <c r="DV167" i="1" s="1"/>
  <c r="DF168" i="1"/>
  <c r="DV168" i="1" s="1"/>
  <c r="DF169" i="1"/>
  <c r="DV169" i="1" s="1"/>
  <c r="DF170" i="1"/>
  <c r="DV170" i="1" s="1"/>
  <c r="BG155" i="1"/>
  <c r="BX155" i="1" s="1"/>
  <c r="EK155" i="1" s="1"/>
  <c r="BG156" i="1"/>
  <c r="BX156" i="1" s="1"/>
  <c r="EK156" i="1" s="1"/>
  <c r="BG157" i="1"/>
  <c r="BX157" i="1" s="1"/>
  <c r="EK157" i="1" s="1"/>
  <c r="BG158" i="1"/>
  <c r="BX158" i="1" s="1"/>
  <c r="EK158" i="1" s="1"/>
  <c r="BG159" i="1"/>
  <c r="BX159" i="1" s="1"/>
  <c r="EK159" i="1" s="1"/>
  <c r="BG160" i="1"/>
  <c r="BX160" i="1" s="1"/>
  <c r="EK160" i="1" s="1"/>
  <c r="BG161" i="1"/>
  <c r="BX161" i="1" s="1"/>
  <c r="BG162" i="1"/>
  <c r="BX162" i="1" s="1"/>
  <c r="EK162" i="1" s="1"/>
  <c r="BG163" i="1"/>
  <c r="BX163" i="1" s="1"/>
  <c r="EK163" i="1" s="1"/>
  <c r="BG164" i="1"/>
  <c r="BX164" i="1" s="1"/>
  <c r="EK164" i="1" s="1"/>
  <c r="BG165" i="1"/>
  <c r="BX165" i="1" s="1"/>
  <c r="EK165" i="1" s="1"/>
  <c r="BG166" i="1"/>
  <c r="BX166" i="1" s="1"/>
  <c r="BG167" i="1"/>
  <c r="BX167" i="1" s="1"/>
  <c r="EK167" i="1" s="1"/>
  <c r="BG168" i="1"/>
  <c r="BX168" i="1" s="1"/>
  <c r="BG169" i="1"/>
  <c r="BX169" i="1" s="1"/>
  <c r="EK169" i="1" s="1"/>
  <c r="BG170" i="1"/>
  <c r="BX170" i="1" s="1"/>
  <c r="EK170" i="1" s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54" i="1"/>
  <c r="BG154" i="1"/>
  <c r="BX154" i="1" s="1"/>
  <c r="D163" i="4"/>
  <c r="E163" i="4"/>
  <c r="F163" i="4"/>
  <c r="G163" i="4"/>
  <c r="H163" i="4"/>
  <c r="I163" i="4"/>
  <c r="J163" i="4"/>
  <c r="K163" i="4"/>
  <c r="L163" i="4"/>
  <c r="M163" i="4"/>
  <c r="C163" i="4"/>
  <c r="E162" i="4"/>
  <c r="D162" i="4"/>
  <c r="F162" i="4"/>
  <c r="G162" i="4"/>
  <c r="H162" i="4"/>
  <c r="I162" i="4"/>
  <c r="J162" i="4"/>
  <c r="K162" i="4"/>
  <c r="L162" i="4"/>
  <c r="M162" i="4"/>
  <c r="C162" i="4"/>
  <c r="D196" i="1"/>
  <c r="E196" i="1"/>
  <c r="G196" i="1"/>
  <c r="H196" i="1"/>
  <c r="J196" i="1"/>
  <c r="L196" i="1"/>
  <c r="M196" i="1"/>
  <c r="N196" i="1"/>
  <c r="P196" i="1"/>
  <c r="Q196" i="1"/>
  <c r="R196" i="1"/>
  <c r="S196" i="1"/>
  <c r="X196" i="1"/>
  <c r="Y196" i="1"/>
  <c r="AC196" i="1"/>
  <c r="AD196" i="1"/>
  <c r="AE196" i="1"/>
  <c r="AF196" i="1"/>
  <c r="AG196" i="1"/>
  <c r="AI196" i="1"/>
  <c r="AJ196" i="1"/>
  <c r="AK196" i="1"/>
  <c r="AL196" i="1"/>
  <c r="AM196" i="1"/>
  <c r="AN196" i="1"/>
  <c r="AO196" i="1"/>
  <c r="AP196" i="1"/>
  <c r="AQ196" i="1"/>
  <c r="AR196" i="1"/>
  <c r="AS196" i="1"/>
  <c r="AW196" i="1"/>
  <c r="AX196" i="1"/>
  <c r="AY196" i="1"/>
  <c r="BB196" i="1"/>
  <c r="BC196" i="1"/>
  <c r="BD196" i="1"/>
  <c r="BE196" i="1"/>
  <c r="BF196" i="1"/>
  <c r="BH196" i="1"/>
  <c r="BI196" i="1"/>
  <c r="BJ196" i="1"/>
  <c r="BK196" i="1"/>
  <c r="BM196" i="1"/>
  <c r="BN196" i="1"/>
  <c r="BO196" i="1"/>
  <c r="BQ196" i="1"/>
  <c r="BR196" i="1"/>
  <c r="BS196" i="1"/>
  <c r="BT196" i="1"/>
  <c r="BY196" i="1"/>
  <c r="BZ196" i="1"/>
  <c r="CC196" i="1"/>
  <c r="CD196" i="1"/>
  <c r="CE196" i="1"/>
  <c r="CF196" i="1"/>
  <c r="CG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DA196" i="1"/>
  <c r="DB196" i="1"/>
  <c r="DC196" i="1"/>
  <c r="DD196" i="1"/>
  <c r="DE196" i="1"/>
  <c r="DG196" i="1"/>
  <c r="DH196" i="1"/>
  <c r="DJ196" i="1"/>
  <c r="DL196" i="1"/>
  <c r="DM196" i="1"/>
  <c r="DN196" i="1"/>
  <c r="DP196" i="1"/>
  <c r="DQ196" i="1"/>
  <c r="DR196" i="1"/>
  <c r="DS196" i="1"/>
  <c r="DT196" i="1"/>
  <c r="DW196" i="1"/>
  <c r="DZ196" i="1"/>
  <c r="EA196" i="1"/>
  <c r="EG196" i="1"/>
  <c r="EH196" i="1"/>
  <c r="EI196" i="1"/>
  <c r="EL196" i="1"/>
  <c r="EM196" i="1"/>
  <c r="EN196" i="1"/>
  <c r="EO196" i="1"/>
  <c r="D197" i="1"/>
  <c r="E197" i="1"/>
  <c r="G197" i="1"/>
  <c r="H197" i="1"/>
  <c r="J197" i="1"/>
  <c r="L197" i="1"/>
  <c r="M197" i="1"/>
  <c r="N197" i="1"/>
  <c r="P197" i="1"/>
  <c r="Q197" i="1"/>
  <c r="R197" i="1"/>
  <c r="S197" i="1"/>
  <c r="X197" i="1"/>
  <c r="Y197" i="1"/>
  <c r="AC197" i="1"/>
  <c r="AD197" i="1"/>
  <c r="AE197" i="1"/>
  <c r="AF197" i="1"/>
  <c r="AG197" i="1"/>
  <c r="AI197" i="1"/>
  <c r="AJ197" i="1"/>
  <c r="AK197" i="1"/>
  <c r="AL197" i="1"/>
  <c r="AM197" i="1"/>
  <c r="AN197" i="1"/>
  <c r="AO197" i="1"/>
  <c r="AP197" i="1"/>
  <c r="AQ197" i="1"/>
  <c r="AR197" i="1"/>
  <c r="AS197" i="1"/>
  <c r="AW197" i="1"/>
  <c r="AX197" i="1"/>
  <c r="AY197" i="1"/>
  <c r="BB197" i="1"/>
  <c r="BC197" i="1"/>
  <c r="BD197" i="1"/>
  <c r="BE197" i="1"/>
  <c r="BF197" i="1"/>
  <c r="BH197" i="1"/>
  <c r="BI197" i="1"/>
  <c r="BJ197" i="1"/>
  <c r="BK197" i="1"/>
  <c r="BM197" i="1"/>
  <c r="BN197" i="1"/>
  <c r="BO197" i="1"/>
  <c r="BQ197" i="1"/>
  <c r="BR197" i="1"/>
  <c r="BS197" i="1"/>
  <c r="BT197" i="1"/>
  <c r="BY197" i="1"/>
  <c r="BZ197" i="1"/>
  <c r="CC197" i="1"/>
  <c r="CD197" i="1"/>
  <c r="CE197" i="1"/>
  <c r="CF197" i="1"/>
  <c r="CG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DA197" i="1"/>
  <c r="DB197" i="1"/>
  <c r="DC197" i="1"/>
  <c r="DD197" i="1"/>
  <c r="DE197" i="1"/>
  <c r="DG197" i="1"/>
  <c r="DH197" i="1"/>
  <c r="DJ197" i="1"/>
  <c r="DL197" i="1"/>
  <c r="DM197" i="1"/>
  <c r="DN197" i="1"/>
  <c r="DP197" i="1"/>
  <c r="DQ197" i="1"/>
  <c r="DR197" i="1"/>
  <c r="DS197" i="1"/>
  <c r="DT197" i="1"/>
  <c r="DW197" i="1"/>
  <c r="DZ197" i="1"/>
  <c r="EA197" i="1"/>
  <c r="EG197" i="1"/>
  <c r="EH197" i="1"/>
  <c r="EI197" i="1"/>
  <c r="EL197" i="1"/>
  <c r="EM197" i="1"/>
  <c r="EN197" i="1"/>
  <c r="EO197" i="1"/>
  <c r="C197" i="1"/>
  <c r="C196" i="1"/>
  <c r="S3" i="7"/>
  <c r="O3" i="7"/>
  <c r="K3" i="7"/>
  <c r="G3" i="7"/>
  <c r="C3" i="7"/>
  <c r="B159" i="3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AD111" i="2"/>
  <c r="N111" i="2"/>
  <c r="AA111" i="2"/>
  <c r="AE111" i="2" s="1"/>
  <c r="AA112" i="2"/>
  <c r="K111" i="2"/>
  <c r="K112" i="2"/>
  <c r="DF154" i="1"/>
  <c r="DV154" i="1" s="1"/>
  <c r="DR145" i="5"/>
  <c r="DN145" i="5"/>
  <c r="BO145" i="5"/>
  <c r="BK145" i="5"/>
  <c r="J145" i="5"/>
  <c r="F145" i="5"/>
  <c r="BO146" i="5"/>
  <c r="BO147" i="5"/>
  <c r="BO148" i="5"/>
  <c r="BO149" i="5"/>
  <c r="BO150" i="5"/>
  <c r="FD146" i="5"/>
  <c r="FD147" i="5"/>
  <c r="FD148" i="5"/>
  <c r="FD149" i="5"/>
  <c r="FD150" i="5"/>
  <c r="FD145" i="5"/>
  <c r="FC146" i="5"/>
  <c r="FC147" i="5"/>
  <c r="FC148" i="5"/>
  <c r="FC149" i="5"/>
  <c r="FC150" i="5"/>
  <c r="FC145" i="5"/>
  <c r="DR146" i="5"/>
  <c r="DR147" i="5"/>
  <c r="DR148" i="5"/>
  <c r="DR149" i="5"/>
  <c r="DR150" i="5"/>
  <c r="J146" i="5"/>
  <c r="J147" i="5"/>
  <c r="J148" i="5"/>
  <c r="J149" i="5"/>
  <c r="J150" i="5"/>
  <c r="X15" i="5"/>
  <c r="Y55" i="5"/>
  <c r="X55" i="5" s="1"/>
  <c r="X56" i="5"/>
  <c r="Y57" i="5"/>
  <c r="X57" i="5" s="1"/>
  <c r="Y58" i="5"/>
  <c r="X58" i="5" s="1"/>
  <c r="Y59" i="5"/>
  <c r="X59" i="5" s="1"/>
  <c r="Y60" i="5"/>
  <c r="X60" i="5" s="1"/>
  <c r="Y61" i="5"/>
  <c r="X61" i="5" s="1"/>
  <c r="Y86" i="5"/>
  <c r="Y87" i="5"/>
  <c r="Y88" i="5"/>
  <c r="Y89" i="5"/>
  <c r="S96" i="5"/>
  <c r="O97" i="5"/>
  <c r="S97" i="5"/>
  <c r="S98" i="5"/>
  <c r="O99" i="5"/>
  <c r="O100" i="5"/>
  <c r="O101" i="5"/>
  <c r="O102" i="5"/>
  <c r="O103" i="5"/>
  <c r="O104" i="5"/>
  <c r="O105" i="5"/>
  <c r="O107" i="5"/>
  <c r="O108" i="5"/>
  <c r="Y108" i="5"/>
  <c r="O109" i="5"/>
  <c r="S109" i="5"/>
  <c r="Y109" i="5"/>
  <c r="O110" i="5"/>
  <c r="S110" i="5"/>
  <c r="S111" i="5"/>
  <c r="Y111" i="5"/>
  <c r="S112" i="5"/>
  <c r="Y112" i="5"/>
  <c r="O113" i="5"/>
  <c r="S113" i="5"/>
  <c r="O114" i="5"/>
  <c r="S114" i="5"/>
  <c r="O115" i="5"/>
  <c r="S115" i="5"/>
  <c r="O116" i="5"/>
  <c r="S116" i="5"/>
  <c r="O117" i="5"/>
  <c r="S117" i="5"/>
  <c r="O118" i="5"/>
  <c r="S118" i="5"/>
  <c r="O119" i="5"/>
  <c r="S119" i="5"/>
  <c r="O120" i="5"/>
  <c r="S120" i="5"/>
  <c r="O121" i="5"/>
  <c r="S121" i="5"/>
  <c r="O122" i="5"/>
  <c r="S122" i="5"/>
  <c r="O123" i="5"/>
  <c r="S123" i="5"/>
  <c r="O124" i="5"/>
  <c r="S124" i="5"/>
  <c r="O125" i="5"/>
  <c r="O127" i="5"/>
  <c r="O129" i="5"/>
  <c r="O130" i="5"/>
  <c r="O131" i="5"/>
  <c r="O132" i="5"/>
  <c r="O133" i="5"/>
  <c r="O134" i="5"/>
  <c r="O135" i="5"/>
  <c r="O136" i="5"/>
  <c r="O138" i="5"/>
  <c r="S140" i="5"/>
  <c r="O141" i="5"/>
  <c r="S141" i="5"/>
  <c r="O142" i="5"/>
  <c r="S142" i="5"/>
  <c r="O143" i="5"/>
  <c r="S143" i="5"/>
  <c r="S144" i="5"/>
  <c r="O145" i="5"/>
  <c r="S145" i="5"/>
  <c r="S146" i="5"/>
  <c r="Y146" i="5"/>
  <c r="S147" i="5"/>
  <c r="Y147" i="5"/>
  <c r="Z147" i="5"/>
  <c r="O148" i="5"/>
  <c r="S148" i="5"/>
  <c r="X148" i="5"/>
  <c r="AD148" i="5"/>
  <c r="AE148" i="5"/>
  <c r="O149" i="5"/>
  <c r="S149" i="5"/>
  <c r="Z149" i="5"/>
  <c r="M150" i="5"/>
  <c r="O150" i="5"/>
  <c r="S150" i="5"/>
  <c r="AE150" i="5"/>
  <c r="AF150" i="5"/>
  <c r="K162" i="5"/>
  <c r="N162" i="5"/>
  <c r="P162" i="5"/>
  <c r="Q162" i="5"/>
  <c r="X162" i="5"/>
  <c r="AH162" i="5"/>
  <c r="K163" i="5"/>
  <c r="N163" i="5"/>
  <c r="P163" i="5"/>
  <c r="Q163" i="5"/>
  <c r="X163" i="5"/>
  <c r="AH163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1" i="5"/>
  <c r="AI52" i="5"/>
  <c r="AJ52" i="5"/>
  <c r="AK52" i="5"/>
  <c r="AI53" i="5"/>
  <c r="AJ53" i="5"/>
  <c r="AK53" i="5"/>
  <c r="AI54" i="5"/>
  <c r="AJ54" i="5"/>
  <c r="AK54" i="5"/>
  <c r="AL55" i="5"/>
  <c r="AX55" i="5"/>
  <c r="AL56" i="5"/>
  <c r="AL57" i="5"/>
  <c r="AX57" i="5"/>
  <c r="AL58" i="5"/>
  <c r="AX58" i="5"/>
  <c r="AL59" i="5"/>
  <c r="AX59" i="5"/>
  <c r="AL60" i="5"/>
  <c r="AX60" i="5"/>
  <c r="AL61" i="5"/>
  <c r="AX61" i="5"/>
  <c r="AL62" i="5"/>
  <c r="AN62" i="5"/>
  <c r="AX62" i="5"/>
  <c r="AL63" i="5"/>
  <c r="AZ63" i="5" s="1"/>
  <c r="AN63" i="5"/>
  <c r="AL64" i="5"/>
  <c r="AZ64" i="5" s="1"/>
  <c r="AN64" i="5"/>
  <c r="AL65" i="5"/>
  <c r="AZ65" i="5" s="1"/>
  <c r="AN65" i="5"/>
  <c r="AL67" i="5"/>
  <c r="AZ67" i="5" s="1"/>
  <c r="BA67" i="5" s="1"/>
  <c r="AN67" i="5"/>
  <c r="AL68" i="5"/>
  <c r="AZ68" i="5" s="1"/>
  <c r="AN68" i="5"/>
  <c r="AL69" i="5"/>
  <c r="AZ69" i="5" s="1"/>
  <c r="AN69" i="5"/>
  <c r="AL70" i="5"/>
  <c r="AZ70" i="5" s="1"/>
  <c r="AL71" i="5"/>
  <c r="AZ71" i="5" s="1"/>
  <c r="AL72" i="5"/>
  <c r="AZ72" i="5" s="1"/>
  <c r="AL73" i="5"/>
  <c r="AZ73" i="5" s="1"/>
  <c r="AL74" i="5"/>
  <c r="AZ74" i="5" s="1"/>
  <c r="AL75" i="5"/>
  <c r="AZ75" i="5" s="1"/>
  <c r="AL76" i="5"/>
  <c r="AZ76" i="5" s="1"/>
  <c r="AL77" i="5"/>
  <c r="AZ77" i="5" s="1"/>
  <c r="AL78" i="5"/>
  <c r="AZ78" i="5" s="1"/>
  <c r="AL79" i="5"/>
  <c r="AZ79" i="5" s="1"/>
  <c r="AL80" i="5"/>
  <c r="AZ80" i="5" s="1"/>
  <c r="AL81" i="5"/>
  <c r="AZ81" i="5" s="1"/>
  <c r="AL82" i="5"/>
  <c r="AZ82" i="5" s="1"/>
  <c r="AL83" i="5"/>
  <c r="AZ83" i="5" s="1"/>
  <c r="AL84" i="5"/>
  <c r="AZ84" i="5" s="1"/>
  <c r="AL85" i="5"/>
  <c r="AZ85" i="5" s="1"/>
  <c r="AL98" i="5"/>
  <c r="AZ98" i="5" s="1"/>
  <c r="AL99" i="5"/>
  <c r="AZ99" i="5" s="1"/>
  <c r="AX99" i="5"/>
  <c r="AL100" i="5"/>
  <c r="AZ100" i="5" s="1"/>
  <c r="AL101" i="5"/>
  <c r="AZ101" i="5" s="1"/>
  <c r="AX101" i="5"/>
  <c r="AL102" i="5"/>
  <c r="AZ102" i="5" s="1"/>
  <c r="AL103" i="5"/>
  <c r="AZ103" i="5" s="1"/>
  <c r="AL104" i="5"/>
  <c r="AZ104" i="5" s="1"/>
  <c r="AL105" i="5"/>
  <c r="AZ105" i="5" s="1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X147" i="5"/>
  <c r="AY147" i="5"/>
  <c r="BD148" i="5"/>
  <c r="BD150" i="5"/>
  <c r="BE150" i="5"/>
  <c r="EK150" i="5"/>
  <c r="EJ150" i="5"/>
  <c r="EA150" i="5"/>
  <c r="DW150" i="5"/>
  <c r="DU150" i="5"/>
  <c r="DN150" i="5"/>
  <c r="EH150" i="5" s="1"/>
  <c r="DH150" i="5"/>
  <c r="DG150" i="5"/>
  <c r="CJ150" i="5"/>
  <c r="CI150" i="5"/>
  <c r="BX150" i="5"/>
  <c r="BK150" i="5"/>
  <c r="CF150" i="5" s="1"/>
  <c r="F150" i="5"/>
  <c r="AA150" i="5" s="1"/>
  <c r="EA149" i="5"/>
  <c r="DW149" i="5"/>
  <c r="DU149" i="5"/>
  <c r="DN149" i="5"/>
  <c r="EH149" i="5" s="1"/>
  <c r="CD149" i="5"/>
  <c r="BX149" i="5"/>
  <c r="BK149" i="5"/>
  <c r="CF149" i="5" s="1"/>
  <c r="F149" i="5"/>
  <c r="AA149" i="5" s="1"/>
  <c r="EJ148" i="5"/>
  <c r="EA148" i="5"/>
  <c r="DW148" i="5"/>
  <c r="DU148" i="5"/>
  <c r="DN148" i="5"/>
  <c r="EH148" i="5" s="1"/>
  <c r="DG148" i="5"/>
  <c r="CI148" i="5"/>
  <c r="CC148" i="5"/>
  <c r="BX148" i="5"/>
  <c r="BK148" i="5"/>
  <c r="CF148" i="5" s="1"/>
  <c r="F148" i="5"/>
  <c r="AA148" i="5" s="1"/>
  <c r="EA147" i="5"/>
  <c r="DW147" i="5"/>
  <c r="DU147" i="5"/>
  <c r="DN147" i="5"/>
  <c r="EH147" i="5" s="1"/>
  <c r="CE147" i="5"/>
  <c r="CD147" i="5"/>
  <c r="BX147" i="5"/>
  <c r="BK147" i="5"/>
  <c r="CF147" i="5" s="1"/>
  <c r="F147" i="5"/>
  <c r="AA147" i="5" s="1"/>
  <c r="EG146" i="5"/>
  <c r="EA146" i="5"/>
  <c r="DW146" i="5"/>
  <c r="DU146" i="5"/>
  <c r="DN146" i="5"/>
  <c r="EH146" i="5" s="1"/>
  <c r="CD146" i="5"/>
  <c r="BX146" i="5"/>
  <c r="BK146" i="5"/>
  <c r="CF146" i="5" s="1"/>
  <c r="F146" i="5"/>
  <c r="AA146" i="5" s="1"/>
  <c r="EA145" i="5"/>
  <c r="DW145" i="5"/>
  <c r="DU145" i="5"/>
  <c r="EH145" i="5"/>
  <c r="BX145" i="5"/>
  <c r="CF145" i="5"/>
  <c r="AA145" i="5"/>
  <c r="EA144" i="5"/>
  <c r="DW144" i="5"/>
  <c r="DN144" i="5"/>
  <c r="EH144" i="5" s="1"/>
  <c r="BX144" i="5"/>
  <c r="BT144" i="5"/>
  <c r="BK144" i="5"/>
  <c r="CF144" i="5" s="1"/>
  <c r="F144" i="5"/>
  <c r="AA144" i="5" s="1"/>
  <c r="EA143" i="5"/>
  <c r="DW143" i="5"/>
  <c r="DU143" i="5"/>
  <c r="DN143" i="5"/>
  <c r="EH143" i="5" s="1"/>
  <c r="BX143" i="5"/>
  <c r="BK143" i="5"/>
  <c r="CF143" i="5" s="1"/>
  <c r="F143" i="5"/>
  <c r="AA143" i="5" s="1"/>
  <c r="EA142" i="5"/>
  <c r="DW142" i="5"/>
  <c r="DU142" i="5"/>
  <c r="DN142" i="5"/>
  <c r="EH142" i="5" s="1"/>
  <c r="BX142" i="5"/>
  <c r="BK142" i="5"/>
  <c r="CF142" i="5" s="1"/>
  <c r="F142" i="5"/>
  <c r="AA142" i="5" s="1"/>
  <c r="EA141" i="5"/>
  <c r="DW141" i="5"/>
  <c r="DN141" i="5"/>
  <c r="EH141" i="5" s="1"/>
  <c r="CD141" i="5"/>
  <c r="BX141" i="5"/>
  <c r="BK141" i="5"/>
  <c r="CF141" i="5" s="1"/>
  <c r="F141" i="5"/>
  <c r="EV141" i="5" s="1"/>
  <c r="EA140" i="5"/>
  <c r="DW140" i="5"/>
  <c r="DN140" i="5"/>
  <c r="EH140" i="5" s="1"/>
  <c r="CD140" i="5"/>
  <c r="BX140" i="5"/>
  <c r="BK140" i="5"/>
  <c r="CF140" i="5" s="1"/>
  <c r="F140" i="5"/>
  <c r="AA140" i="5" s="1"/>
  <c r="DW139" i="5"/>
  <c r="DN139" i="5"/>
  <c r="CD139" i="5"/>
  <c r="BK139" i="5"/>
  <c r="CF139" i="5" s="1"/>
  <c r="F139" i="5"/>
  <c r="AA139" i="5" s="1"/>
  <c r="CD138" i="5"/>
  <c r="BK138" i="5"/>
  <c r="CF138" i="5" s="1"/>
  <c r="F138" i="5"/>
  <c r="AA138" i="5" s="1"/>
  <c r="DW137" i="5"/>
  <c r="DN137" i="5"/>
  <c r="EH137" i="5" s="1"/>
  <c r="CD137" i="5"/>
  <c r="BK137" i="5"/>
  <c r="CF137" i="5" s="1"/>
  <c r="F137" i="5"/>
  <c r="AA137" i="5" s="1"/>
  <c r="DW136" i="5"/>
  <c r="DN136" i="5"/>
  <c r="EH136" i="5" s="1"/>
  <c r="BT136" i="5"/>
  <c r="BK136" i="5"/>
  <c r="CF136" i="5" s="1"/>
  <c r="F136" i="5"/>
  <c r="AA136" i="5" s="1"/>
  <c r="DW135" i="5"/>
  <c r="DN135" i="5"/>
  <c r="EH135" i="5" s="1"/>
  <c r="BT135" i="5"/>
  <c r="BK135" i="5"/>
  <c r="CF135" i="5" s="1"/>
  <c r="F135" i="5"/>
  <c r="AA135" i="5" s="1"/>
  <c r="EP134" i="5"/>
  <c r="EO134" i="5"/>
  <c r="EN134" i="5"/>
  <c r="DW134" i="5"/>
  <c r="DN134" i="5"/>
  <c r="EH134" i="5" s="1"/>
  <c r="BK134" i="5"/>
  <c r="CF134" i="5" s="1"/>
  <c r="F134" i="5"/>
  <c r="AA134" i="5" s="1"/>
  <c r="EP133" i="5"/>
  <c r="EO133" i="5"/>
  <c r="EN133" i="5"/>
  <c r="DW133" i="5"/>
  <c r="DN133" i="5"/>
  <c r="EH133" i="5" s="1"/>
  <c r="BT133" i="5"/>
  <c r="BK133" i="5"/>
  <c r="CF133" i="5" s="1"/>
  <c r="F133" i="5"/>
  <c r="AA133" i="5" s="1"/>
  <c r="EP132" i="5"/>
  <c r="EO132" i="5"/>
  <c r="EN132" i="5"/>
  <c r="DW132" i="5"/>
  <c r="DN132" i="5"/>
  <c r="EH132" i="5" s="1"/>
  <c r="BK132" i="5"/>
  <c r="CF132" i="5" s="1"/>
  <c r="F132" i="5"/>
  <c r="AA132" i="5" s="1"/>
  <c r="EP131" i="5"/>
  <c r="EO131" i="5"/>
  <c r="EN131" i="5"/>
  <c r="DW131" i="5"/>
  <c r="DN131" i="5"/>
  <c r="EH131" i="5" s="1"/>
  <c r="BK131" i="5"/>
  <c r="CF131" i="5" s="1"/>
  <c r="F131" i="5"/>
  <c r="AA131" i="5" s="1"/>
  <c r="EP130" i="5"/>
  <c r="EO130" i="5"/>
  <c r="EN130" i="5"/>
  <c r="DW130" i="5"/>
  <c r="DN130" i="5"/>
  <c r="EH130" i="5" s="1"/>
  <c r="BK130" i="5"/>
  <c r="CF130" i="5" s="1"/>
  <c r="F130" i="5"/>
  <c r="AA130" i="5" s="1"/>
  <c r="EP129" i="5"/>
  <c r="EO129" i="5"/>
  <c r="EN129" i="5"/>
  <c r="DW129" i="5"/>
  <c r="DN129" i="5"/>
  <c r="EH129" i="5" s="1"/>
  <c r="BT129" i="5"/>
  <c r="BK129" i="5"/>
  <c r="CF129" i="5" s="1"/>
  <c r="F129" i="5"/>
  <c r="AA129" i="5" s="1"/>
  <c r="EP128" i="5"/>
  <c r="EO128" i="5"/>
  <c r="EN128" i="5"/>
  <c r="DW128" i="5"/>
  <c r="DN128" i="5"/>
  <c r="EH128" i="5" s="1"/>
  <c r="BK128" i="5"/>
  <c r="CF128" i="5" s="1"/>
  <c r="F128" i="5"/>
  <c r="AA128" i="5" s="1"/>
  <c r="EP127" i="5"/>
  <c r="EO127" i="5"/>
  <c r="EN127" i="5"/>
  <c r="DW127" i="5"/>
  <c r="DN127" i="5"/>
  <c r="EH127" i="5" s="1"/>
  <c r="BK127" i="5"/>
  <c r="CF127" i="5" s="1"/>
  <c r="F127" i="5"/>
  <c r="AA127" i="5" s="1"/>
  <c r="EP126" i="5"/>
  <c r="EO126" i="5"/>
  <c r="EN126" i="5"/>
  <c r="DW126" i="5"/>
  <c r="DN126" i="5"/>
  <c r="EH126" i="5" s="1"/>
  <c r="BK126" i="5"/>
  <c r="CF126" i="5" s="1"/>
  <c r="F126" i="5"/>
  <c r="AA126" i="5" s="1"/>
  <c r="EP125" i="5"/>
  <c r="EO125" i="5"/>
  <c r="EN125" i="5"/>
  <c r="DN125" i="5"/>
  <c r="EH125" i="5" s="1"/>
  <c r="BT125" i="5"/>
  <c r="BK125" i="5"/>
  <c r="CF125" i="5" s="1"/>
  <c r="F125" i="5"/>
  <c r="AA125" i="5" s="1"/>
  <c r="EP124" i="5"/>
  <c r="EO124" i="5"/>
  <c r="EN124" i="5"/>
  <c r="EA124" i="5"/>
  <c r="DW124" i="5"/>
  <c r="DN124" i="5"/>
  <c r="EH124" i="5" s="1"/>
  <c r="BX124" i="5"/>
  <c r="BK124" i="5"/>
  <c r="CF124" i="5" s="1"/>
  <c r="F124" i="5"/>
  <c r="AA124" i="5" s="1"/>
  <c r="EP123" i="5"/>
  <c r="EO123" i="5"/>
  <c r="EN123" i="5"/>
  <c r="EA123" i="5"/>
  <c r="DW123" i="5"/>
  <c r="DN123" i="5"/>
  <c r="EH123" i="5" s="1"/>
  <c r="CP123" i="5"/>
  <c r="BX123" i="5"/>
  <c r="BT123" i="5"/>
  <c r="BK123" i="5"/>
  <c r="CF123" i="5" s="1"/>
  <c r="F123" i="5"/>
  <c r="AA123" i="5" s="1"/>
  <c r="EP122" i="5"/>
  <c r="EO122" i="5"/>
  <c r="EN122" i="5"/>
  <c r="EA122" i="5"/>
  <c r="DW122" i="5"/>
  <c r="DN122" i="5"/>
  <c r="EH122" i="5" s="1"/>
  <c r="CP122" i="5"/>
  <c r="BX122" i="5"/>
  <c r="BT122" i="5"/>
  <c r="BK122" i="5"/>
  <c r="CF122" i="5" s="1"/>
  <c r="F122" i="5"/>
  <c r="AA122" i="5" s="1"/>
  <c r="EP121" i="5"/>
  <c r="EO121" i="5"/>
  <c r="EN121" i="5"/>
  <c r="EA121" i="5"/>
  <c r="DW121" i="5"/>
  <c r="DN121" i="5"/>
  <c r="EH121" i="5" s="1"/>
  <c r="CP121" i="5"/>
  <c r="BX121" i="5"/>
  <c r="BT121" i="5"/>
  <c r="BK121" i="5"/>
  <c r="CF121" i="5" s="1"/>
  <c r="F121" i="5"/>
  <c r="AA121" i="5" s="1"/>
  <c r="EP120" i="5"/>
  <c r="EO120" i="5"/>
  <c r="EN120" i="5"/>
  <c r="EA120" i="5"/>
  <c r="DW120" i="5"/>
  <c r="DN120" i="5"/>
  <c r="EH120" i="5" s="1"/>
  <c r="CP120" i="5"/>
  <c r="BX120" i="5"/>
  <c r="BT120" i="5"/>
  <c r="BK120" i="5"/>
  <c r="CF120" i="5" s="1"/>
  <c r="F120" i="5"/>
  <c r="AA120" i="5" s="1"/>
  <c r="EP119" i="5"/>
  <c r="EO119" i="5"/>
  <c r="EN119" i="5"/>
  <c r="EA119" i="5"/>
  <c r="DW119" i="5"/>
  <c r="DN119" i="5"/>
  <c r="EH119" i="5" s="1"/>
  <c r="CP119" i="5"/>
  <c r="BX119" i="5"/>
  <c r="BT119" i="5"/>
  <c r="BK119" i="5"/>
  <c r="CF119" i="5" s="1"/>
  <c r="F119" i="5"/>
  <c r="AA119" i="5" s="1"/>
  <c r="EP118" i="5"/>
  <c r="EO118" i="5"/>
  <c r="EN118" i="5"/>
  <c r="EA118" i="5"/>
  <c r="DW118" i="5"/>
  <c r="DN118" i="5"/>
  <c r="EH118" i="5" s="1"/>
  <c r="CP118" i="5"/>
  <c r="BX118" i="5"/>
  <c r="BT118" i="5"/>
  <c r="BK118" i="5"/>
  <c r="CF118" i="5" s="1"/>
  <c r="F118" i="5"/>
  <c r="AA118" i="5" s="1"/>
  <c r="EP117" i="5"/>
  <c r="EO117" i="5"/>
  <c r="EN117" i="5"/>
  <c r="EA117" i="5"/>
  <c r="DW117" i="5"/>
  <c r="DN117" i="5"/>
  <c r="EH117" i="5" s="1"/>
  <c r="CP117" i="5"/>
  <c r="BX117" i="5"/>
  <c r="BT117" i="5"/>
  <c r="BK117" i="5"/>
  <c r="CF117" i="5" s="1"/>
  <c r="F117" i="5"/>
  <c r="AA117" i="5" s="1"/>
  <c r="EP116" i="5"/>
  <c r="EO116" i="5"/>
  <c r="EN116" i="5"/>
  <c r="EA116" i="5"/>
  <c r="DW116" i="5"/>
  <c r="DN116" i="5"/>
  <c r="EH116" i="5" s="1"/>
  <c r="CP116" i="5"/>
  <c r="BX116" i="5"/>
  <c r="BT116" i="5"/>
  <c r="BK116" i="5"/>
  <c r="F116" i="5"/>
  <c r="AA116" i="5" s="1"/>
  <c r="EP115" i="5"/>
  <c r="EO115" i="5"/>
  <c r="EN115" i="5"/>
  <c r="EA115" i="5"/>
  <c r="DW115" i="5"/>
  <c r="DN115" i="5"/>
  <c r="CP115" i="5"/>
  <c r="BX115" i="5"/>
  <c r="BT115" i="5"/>
  <c r="BK115" i="5"/>
  <c r="CF115" i="5" s="1"/>
  <c r="F115" i="5"/>
  <c r="AA115" i="5" s="1"/>
  <c r="EP114" i="5"/>
  <c r="EO114" i="5"/>
  <c r="EN114" i="5"/>
  <c r="CF114" i="5"/>
  <c r="BX114" i="5"/>
  <c r="BT114" i="5"/>
  <c r="F114" i="5"/>
  <c r="AA114" i="5" s="1"/>
  <c r="EP113" i="5"/>
  <c r="EO113" i="5"/>
  <c r="EN113" i="5"/>
  <c r="CF113" i="5"/>
  <c r="BX113" i="5"/>
  <c r="BT113" i="5"/>
  <c r="F113" i="5"/>
  <c r="EQ113" i="5" s="1"/>
  <c r="EP112" i="5"/>
  <c r="EO112" i="5"/>
  <c r="EN112" i="5"/>
  <c r="BX112" i="5"/>
  <c r="BK112" i="5"/>
  <c r="CF112" i="5" s="1"/>
  <c r="F112" i="5"/>
  <c r="AA112" i="5" s="1"/>
  <c r="EP111" i="5"/>
  <c r="EO111" i="5"/>
  <c r="EN111" i="5"/>
  <c r="BX111" i="5"/>
  <c r="BK111" i="5"/>
  <c r="F111" i="5"/>
  <c r="AA111" i="5" s="1"/>
  <c r="EP110" i="5"/>
  <c r="EO110" i="5"/>
  <c r="EN110" i="5"/>
  <c r="BX110" i="5"/>
  <c r="BK110" i="5"/>
  <c r="CF110" i="5" s="1"/>
  <c r="F110" i="5"/>
  <c r="AA110" i="5" s="1"/>
  <c r="EP109" i="5"/>
  <c r="EO109" i="5"/>
  <c r="EN109" i="5"/>
  <c r="CD109" i="5"/>
  <c r="BX109" i="5"/>
  <c r="BT109" i="5"/>
  <c r="BK109" i="5"/>
  <c r="CF109" i="5" s="1"/>
  <c r="F109" i="5"/>
  <c r="AA109" i="5" s="1"/>
  <c r="EP108" i="5"/>
  <c r="EO108" i="5"/>
  <c r="EN108" i="5"/>
  <c r="CD108" i="5"/>
  <c r="BK108" i="5"/>
  <c r="CF108" i="5" s="1"/>
  <c r="F108" i="5"/>
  <c r="AA108" i="5" s="1"/>
  <c r="EP107" i="5"/>
  <c r="EO107" i="5"/>
  <c r="EN107" i="5"/>
  <c r="BK107" i="5"/>
  <c r="CF107" i="5" s="1"/>
  <c r="F107" i="5"/>
  <c r="AA107" i="5" s="1"/>
  <c r="EP106" i="5"/>
  <c r="EO106" i="5"/>
  <c r="EN106" i="5"/>
  <c r="BK106" i="5"/>
  <c r="CF106" i="5" s="1"/>
  <c r="F106" i="5"/>
  <c r="AA106" i="5" s="1"/>
  <c r="EP105" i="5"/>
  <c r="EO105" i="5"/>
  <c r="EN105" i="5"/>
  <c r="BT105" i="5"/>
  <c r="BK105" i="5"/>
  <c r="CF105" i="5" s="1"/>
  <c r="F105" i="5"/>
  <c r="AA105" i="5" s="1"/>
  <c r="EP104" i="5"/>
  <c r="EO104" i="5"/>
  <c r="EN104" i="5"/>
  <c r="BT104" i="5"/>
  <c r="BK104" i="5"/>
  <c r="F104" i="5"/>
  <c r="AA104" i="5" s="1"/>
  <c r="EP103" i="5"/>
  <c r="EO103" i="5"/>
  <c r="EN103" i="5"/>
  <c r="BT103" i="5"/>
  <c r="BK103" i="5"/>
  <c r="CF103" i="5" s="1"/>
  <c r="F103" i="5"/>
  <c r="AA103" i="5" s="1"/>
  <c r="EP102" i="5"/>
  <c r="EO102" i="5"/>
  <c r="EN102" i="5"/>
  <c r="BT102" i="5"/>
  <c r="BK102" i="5"/>
  <c r="F102" i="5"/>
  <c r="AA102" i="5" s="1"/>
  <c r="EP101" i="5"/>
  <c r="EO101" i="5"/>
  <c r="EN101" i="5"/>
  <c r="CD101" i="5"/>
  <c r="BT101" i="5"/>
  <c r="BK101" i="5"/>
  <c r="F101" i="5"/>
  <c r="AA101" i="5" s="1"/>
  <c r="EP100" i="5"/>
  <c r="EO100" i="5"/>
  <c r="EN100" i="5"/>
  <c r="BT100" i="5"/>
  <c r="BK100" i="5"/>
  <c r="CF100" i="5" s="1"/>
  <c r="F100" i="5"/>
  <c r="AA100" i="5" s="1"/>
  <c r="EP99" i="5"/>
  <c r="EO99" i="5"/>
  <c r="EN99" i="5"/>
  <c r="BT99" i="5"/>
  <c r="BK99" i="5"/>
  <c r="CF99" i="5" s="1"/>
  <c r="F99" i="5"/>
  <c r="AA99" i="5" s="1"/>
  <c r="EP98" i="5"/>
  <c r="EO98" i="5"/>
  <c r="EN98" i="5"/>
  <c r="BX98" i="5"/>
  <c r="BT98" i="5"/>
  <c r="BK98" i="5"/>
  <c r="CF98" i="5" s="1"/>
  <c r="F98" i="5"/>
  <c r="AA98" i="5" s="1"/>
  <c r="BX97" i="5"/>
  <c r="BT97" i="5"/>
  <c r="F97" i="5"/>
  <c r="AA97" i="5" s="1"/>
  <c r="B97" i="5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X96" i="5"/>
  <c r="BT96" i="5"/>
  <c r="ER95" i="5"/>
  <c r="ER94" i="5"/>
  <c r="F93" i="5"/>
  <c r="AA93" i="5" s="1"/>
  <c r="F92" i="5"/>
  <c r="AA92" i="5" s="1"/>
  <c r="F91" i="5"/>
  <c r="AA91" i="5" s="1"/>
  <c r="F90" i="5"/>
  <c r="AA90" i="5" s="1"/>
  <c r="F89" i="5"/>
  <c r="AA89" i="5" s="1"/>
  <c r="F88" i="5"/>
  <c r="AA88" i="5" s="1"/>
  <c r="F87" i="5"/>
  <c r="AA87" i="5" s="1"/>
  <c r="ER86" i="5"/>
  <c r="F86" i="5"/>
  <c r="AA86" i="5" s="1"/>
  <c r="ER85" i="5"/>
  <c r="BK85" i="5"/>
  <c r="ER84" i="5"/>
  <c r="BK84" i="5"/>
  <c r="F84" i="5"/>
  <c r="AA84" i="5" s="1"/>
  <c r="B84" i="5"/>
  <c r="B85" i="5" s="1"/>
  <c r="B86" i="5" s="1"/>
  <c r="B87" i="5" s="1"/>
  <c r="B88" i="5" s="1"/>
  <c r="B89" i="5" s="1"/>
  <c r="B90" i="5" s="1"/>
  <c r="B91" i="5" s="1"/>
  <c r="B92" i="5" s="1"/>
  <c r="B93" i="5" s="1"/>
  <c r="ER83" i="5"/>
  <c r="BK83" i="5"/>
  <c r="F83" i="5"/>
  <c r="AA83" i="5" s="1"/>
  <c r="ER82" i="5"/>
  <c r="ER81" i="5"/>
  <c r="BK81" i="5"/>
  <c r="ER80" i="5"/>
  <c r="ER79" i="5"/>
  <c r="ER78" i="5"/>
  <c r="ER77" i="5"/>
  <c r="ER76" i="5"/>
  <c r="ER75" i="5"/>
  <c r="ER74" i="5"/>
  <c r="ER73" i="5"/>
  <c r="ER72" i="5"/>
  <c r="ER71" i="5"/>
  <c r="ER70" i="5"/>
  <c r="ER69" i="5"/>
  <c r="ER68" i="5"/>
  <c r="ER67" i="5"/>
  <c r="ER66" i="5"/>
  <c r="ER65" i="5"/>
  <c r="ER64" i="5"/>
  <c r="ER63" i="5"/>
  <c r="ER62" i="5"/>
  <c r="CD61" i="5"/>
  <c r="BK61" i="5"/>
  <c r="F61" i="5"/>
  <c r="EP60" i="5"/>
  <c r="EO60" i="5"/>
  <c r="EN60" i="5"/>
  <c r="CD60" i="5"/>
  <c r="BK60" i="5"/>
  <c r="F60" i="5"/>
  <c r="EP59" i="5"/>
  <c r="EO59" i="5"/>
  <c r="EN59" i="5"/>
  <c r="CD59" i="5"/>
  <c r="BK59" i="5"/>
  <c r="F59" i="5"/>
  <c r="EP58" i="5"/>
  <c r="EO58" i="5"/>
  <c r="EN58" i="5"/>
  <c r="CD58" i="5"/>
  <c r="BK58" i="5"/>
  <c r="F58" i="5"/>
  <c r="EP57" i="5"/>
  <c r="EO57" i="5"/>
  <c r="EN57" i="5"/>
  <c r="BK57" i="5"/>
  <c r="F57" i="5"/>
  <c r="EP56" i="5"/>
  <c r="EO56" i="5"/>
  <c r="EN56" i="5"/>
  <c r="CD56" i="5"/>
  <c r="BK56" i="5"/>
  <c r="F56" i="5"/>
  <c r="EP55" i="5"/>
  <c r="EO55" i="5"/>
  <c r="EN55" i="5"/>
  <c r="CD55" i="5"/>
  <c r="BK55" i="5"/>
  <c r="F55" i="5"/>
  <c r="BJ54" i="5"/>
  <c r="BI54" i="5"/>
  <c r="BH54" i="5"/>
  <c r="E54" i="5"/>
  <c r="D54" i="5"/>
  <c r="C54" i="5"/>
  <c r="BJ53" i="5"/>
  <c r="BI53" i="5"/>
  <c r="BH53" i="5"/>
  <c r="E53" i="5"/>
  <c r="D53" i="5"/>
  <c r="C53" i="5"/>
  <c r="BJ52" i="5"/>
  <c r="BI52" i="5"/>
  <c r="BH52" i="5"/>
  <c r="E52" i="5"/>
  <c r="D52" i="5"/>
  <c r="C52" i="5"/>
  <c r="EO51" i="5"/>
  <c r="EN51" i="5"/>
  <c r="BK51" i="5"/>
  <c r="F51" i="5"/>
  <c r="EO49" i="5"/>
  <c r="EN49" i="5"/>
  <c r="BK49" i="5"/>
  <c r="F49" i="5"/>
  <c r="EP48" i="5"/>
  <c r="EO48" i="5"/>
  <c r="EN48" i="5"/>
  <c r="BK48" i="5"/>
  <c r="F48" i="5"/>
  <c r="EP47" i="5"/>
  <c r="EO47" i="5"/>
  <c r="EN47" i="5"/>
  <c r="BK47" i="5"/>
  <c r="F47" i="5"/>
  <c r="EP46" i="5"/>
  <c r="EO46" i="5"/>
  <c r="EN46" i="5"/>
  <c r="BK46" i="5"/>
  <c r="F46" i="5"/>
  <c r="EP45" i="5"/>
  <c r="EO45" i="5"/>
  <c r="EN45" i="5"/>
  <c r="BK45" i="5"/>
  <c r="F45" i="5"/>
  <c r="EP44" i="5"/>
  <c r="EO44" i="5"/>
  <c r="EN44" i="5"/>
  <c r="BK44" i="5"/>
  <c r="F44" i="5"/>
  <c r="EP43" i="5"/>
  <c r="EO43" i="5"/>
  <c r="EN43" i="5"/>
  <c r="BK43" i="5"/>
  <c r="F43" i="5"/>
  <c r="EP42" i="5"/>
  <c r="EO42" i="5"/>
  <c r="EN42" i="5"/>
  <c r="BK42" i="5"/>
  <c r="F42" i="5"/>
  <c r="EP41" i="5"/>
  <c r="EO41" i="5"/>
  <c r="EN41" i="5"/>
  <c r="BK41" i="5"/>
  <c r="F41" i="5"/>
  <c r="EP40" i="5"/>
  <c r="EO40" i="5"/>
  <c r="EN40" i="5"/>
  <c r="BK40" i="5"/>
  <c r="F40" i="5"/>
  <c r="EP39" i="5"/>
  <c r="EO39" i="5"/>
  <c r="EN39" i="5"/>
  <c r="BK39" i="5"/>
  <c r="F39" i="5"/>
  <c r="EP38" i="5"/>
  <c r="EO38" i="5"/>
  <c r="EN38" i="5"/>
  <c r="BK38" i="5"/>
  <c r="F38" i="5"/>
  <c r="EP37" i="5"/>
  <c r="EO37" i="5"/>
  <c r="EN37" i="5"/>
  <c r="BK37" i="5"/>
  <c r="F37" i="5"/>
  <c r="EP36" i="5"/>
  <c r="EO36" i="5"/>
  <c r="EN36" i="5"/>
  <c r="BK36" i="5"/>
  <c r="F36" i="5"/>
  <c r="EP35" i="5"/>
  <c r="EO35" i="5"/>
  <c r="EN35" i="5"/>
  <c r="BK35" i="5"/>
  <c r="F35" i="5"/>
  <c r="EP34" i="5"/>
  <c r="EO34" i="5"/>
  <c r="EN34" i="5"/>
  <c r="BK34" i="5"/>
  <c r="F34" i="5"/>
  <c r="EP33" i="5"/>
  <c r="EO33" i="5"/>
  <c r="EN33" i="5"/>
  <c r="BK33" i="5"/>
  <c r="F33" i="5"/>
  <c r="EP32" i="5"/>
  <c r="EO32" i="5"/>
  <c r="EN32" i="5"/>
  <c r="BK32" i="5"/>
  <c r="F32" i="5"/>
  <c r="EP31" i="5"/>
  <c r="EO31" i="5"/>
  <c r="EN31" i="5"/>
  <c r="BK31" i="5"/>
  <c r="F31" i="5"/>
  <c r="EP30" i="5"/>
  <c r="EO30" i="5"/>
  <c r="EN30" i="5"/>
  <c r="BK30" i="5"/>
  <c r="F30" i="5"/>
  <c r="EP29" i="5"/>
  <c r="EO29" i="5"/>
  <c r="EN29" i="5"/>
  <c r="BK29" i="5"/>
  <c r="F29" i="5"/>
  <c r="EP28" i="5"/>
  <c r="EO28" i="5"/>
  <c r="EN28" i="5"/>
  <c r="BK28" i="5"/>
  <c r="F28" i="5"/>
  <c r="F27" i="5"/>
  <c r="BK26" i="5"/>
  <c r="BK25" i="5"/>
  <c r="EP24" i="5"/>
  <c r="EO24" i="5"/>
  <c r="EN24" i="5"/>
  <c r="BK24" i="5"/>
  <c r="F24" i="5"/>
  <c r="EP23" i="5"/>
  <c r="EO23" i="5"/>
  <c r="EN23" i="5"/>
  <c r="BK23" i="5"/>
  <c r="F23" i="5"/>
  <c r="F22" i="5"/>
  <c r="EP21" i="5"/>
  <c r="EO21" i="5"/>
  <c r="EN21" i="5"/>
  <c r="BK21" i="5"/>
  <c r="F21" i="5"/>
  <c r="EP20" i="5"/>
  <c r="EO20" i="5"/>
  <c r="EN20" i="5"/>
  <c r="BK20" i="5"/>
  <c r="F20" i="5"/>
  <c r="EP19" i="5"/>
  <c r="EO19" i="5"/>
  <c r="EN19" i="5"/>
  <c r="BK19" i="5"/>
  <c r="F19" i="5"/>
  <c r="EP18" i="5"/>
  <c r="EO18" i="5"/>
  <c r="EN18" i="5"/>
  <c r="BK18" i="5"/>
  <c r="F18" i="5"/>
  <c r="EP17" i="5"/>
  <c r="EO17" i="5"/>
  <c r="EN17" i="5"/>
  <c r="BK17" i="5"/>
  <c r="F17" i="5"/>
  <c r="EP16" i="5"/>
  <c r="EO16" i="5"/>
  <c r="EN16" i="5"/>
  <c r="BK16" i="5"/>
  <c r="F16" i="5"/>
  <c r="EP15" i="5"/>
  <c r="EO15" i="5"/>
  <c r="EN15" i="5"/>
  <c r="BK15" i="5"/>
  <c r="F15" i="5"/>
  <c r="EP14" i="5"/>
  <c r="EO14" i="5"/>
  <c r="EN14" i="5"/>
  <c r="BK14" i="5"/>
  <c r="F14" i="5"/>
  <c r="EP13" i="5"/>
  <c r="EO13" i="5"/>
  <c r="EN13" i="5"/>
  <c r="BK13" i="5"/>
  <c r="F13" i="5"/>
  <c r="EP12" i="5"/>
  <c r="EO12" i="5"/>
  <c r="EN12" i="5"/>
  <c r="BK12" i="5"/>
  <c r="F12" i="5"/>
  <c r="EP11" i="5"/>
  <c r="EO11" i="5"/>
  <c r="EN11" i="5"/>
  <c r="BK11" i="5"/>
  <c r="F11" i="5"/>
  <c r="EP10" i="5"/>
  <c r="EO10" i="5"/>
  <c r="EN10" i="5"/>
  <c r="BK10" i="5"/>
  <c r="F10" i="5"/>
  <c r="F9" i="5"/>
  <c r="F8" i="5"/>
  <c r="BK7" i="5"/>
  <c r="F6" i="5"/>
  <c r="DI143" i="1"/>
  <c r="DI145" i="1"/>
  <c r="DI146" i="1"/>
  <c r="DI147" i="1"/>
  <c r="DI148" i="1"/>
  <c r="DI149" i="1"/>
  <c r="DI150" i="1"/>
  <c r="DI151" i="1"/>
  <c r="DI152" i="1"/>
  <c r="DI153" i="1"/>
  <c r="DI142" i="1"/>
  <c r="I150" i="1"/>
  <c r="I197" i="1" s="1"/>
  <c r="DO152" i="1"/>
  <c r="DO153" i="1"/>
  <c r="BP152" i="1"/>
  <c r="BP153" i="1"/>
  <c r="O152" i="1"/>
  <c r="O153" i="1"/>
  <c r="DK152" i="1"/>
  <c r="DK153" i="1"/>
  <c r="DF151" i="1"/>
  <c r="DV151" i="1" s="1"/>
  <c r="DF152" i="1"/>
  <c r="DV152" i="1" s="1"/>
  <c r="DF153" i="1"/>
  <c r="DV153" i="1" s="1"/>
  <c r="BG151" i="1"/>
  <c r="BX151" i="1" s="1"/>
  <c r="BG152" i="1"/>
  <c r="BX152" i="1" s="1"/>
  <c r="BG153" i="1"/>
  <c r="BX153" i="1" s="1"/>
  <c r="F151" i="1"/>
  <c r="F152" i="1"/>
  <c r="F153" i="1"/>
  <c r="EK166" i="1" l="1"/>
  <c r="EK161" i="1"/>
  <c r="W166" i="1"/>
  <c r="EE166" i="1"/>
  <c r="EJ166" i="1"/>
  <c r="EE153" i="1"/>
  <c r="W169" i="1"/>
  <c r="EE169" i="1"/>
  <c r="EJ169" i="1"/>
  <c r="W165" i="1"/>
  <c r="EJ165" i="1"/>
  <c r="EE165" i="1"/>
  <c r="W161" i="1"/>
  <c r="EJ161" i="1"/>
  <c r="EE161" i="1"/>
  <c r="W157" i="1"/>
  <c r="EJ157" i="1"/>
  <c r="EE157" i="1"/>
  <c r="W170" i="1"/>
  <c r="EE170" i="1"/>
  <c r="EJ170" i="1"/>
  <c r="W168" i="1"/>
  <c r="EP168" i="1" s="1"/>
  <c r="EE168" i="1"/>
  <c r="EJ168" i="1"/>
  <c r="W164" i="1"/>
  <c r="EJ164" i="1"/>
  <c r="EE164" i="1"/>
  <c r="W160" i="1"/>
  <c r="EE160" i="1"/>
  <c r="EJ160" i="1"/>
  <c r="W156" i="1"/>
  <c r="EE156" i="1"/>
  <c r="EJ156" i="1"/>
  <c r="EF168" i="1"/>
  <c r="EK168" i="1"/>
  <c r="W162" i="1"/>
  <c r="EE162" i="1"/>
  <c r="EJ162" i="1"/>
  <c r="W158" i="1"/>
  <c r="EE158" i="1"/>
  <c r="EJ158" i="1"/>
  <c r="W152" i="1"/>
  <c r="EF152" i="1" s="1"/>
  <c r="EE152" i="1"/>
  <c r="EE151" i="1"/>
  <c r="W154" i="1"/>
  <c r="EF154" i="1" s="1"/>
  <c r="EE154" i="1"/>
  <c r="W167" i="1"/>
  <c r="EJ167" i="1"/>
  <c r="EE167" i="1"/>
  <c r="W163" i="1"/>
  <c r="EJ163" i="1"/>
  <c r="EE163" i="1"/>
  <c r="W159" i="1"/>
  <c r="EJ159" i="1"/>
  <c r="EE159" i="1"/>
  <c r="W155" i="1"/>
  <c r="EJ155" i="1"/>
  <c r="EE155" i="1"/>
  <c r="O111" i="2"/>
  <c r="EK154" i="1"/>
  <c r="DI197" i="1"/>
  <c r="DI196" i="1"/>
  <c r="I196" i="1"/>
  <c r="EJ151" i="1"/>
  <c r="EJ154" i="1"/>
  <c r="AL52" i="5"/>
  <c r="AL53" i="5"/>
  <c r="AL54" i="5"/>
  <c r="ER123" i="5"/>
  <c r="ER130" i="5"/>
  <c r="BA70" i="5"/>
  <c r="ER98" i="5"/>
  <c r="ER108" i="5"/>
  <c r="ER139" i="5"/>
  <c r="EW145" i="5"/>
  <c r="EV148" i="5"/>
  <c r="BA71" i="5"/>
  <c r="AA141" i="5"/>
  <c r="ER141" i="5" s="1"/>
  <c r="AA113" i="5"/>
  <c r="ER113" i="5" s="1"/>
  <c r="ER106" i="5"/>
  <c r="ER107" i="5"/>
  <c r="BA73" i="5"/>
  <c r="BA65" i="5"/>
  <c r="FB116" i="5"/>
  <c r="FB132" i="5"/>
  <c r="ER138" i="5"/>
  <c r="BA63" i="5"/>
  <c r="BA64" i="5"/>
  <c r="BA75" i="5"/>
  <c r="BA77" i="5"/>
  <c r="EV136" i="5"/>
  <c r="BA68" i="5"/>
  <c r="EV121" i="5"/>
  <c r="EW142" i="5"/>
  <c r="EV145" i="5"/>
  <c r="EV150" i="5"/>
  <c r="F52" i="5"/>
  <c r="F54" i="5"/>
  <c r="EO54" i="5"/>
  <c r="EQ58" i="5"/>
  <c r="EQ60" i="5"/>
  <c r="EQ102" i="5"/>
  <c r="EQ104" i="5"/>
  <c r="EQ110" i="5"/>
  <c r="EQ130" i="5"/>
  <c r="EW131" i="5"/>
  <c r="EV124" i="5"/>
  <c r="EQ12" i="5"/>
  <c r="EQ16" i="5"/>
  <c r="EQ20" i="5"/>
  <c r="EQ24" i="5"/>
  <c r="EQ59" i="5"/>
  <c r="EQ122" i="5"/>
  <c r="EV135" i="5"/>
  <c r="EQ10" i="5"/>
  <c r="EW133" i="5"/>
  <c r="EW135" i="5"/>
  <c r="EQ31" i="5"/>
  <c r="EQ35" i="5"/>
  <c r="EQ39" i="5"/>
  <c r="EQ43" i="5"/>
  <c r="EQ47" i="5"/>
  <c r="EQ55" i="5"/>
  <c r="EQ106" i="5"/>
  <c r="EQ118" i="5"/>
  <c r="EW121" i="5"/>
  <c r="ER121" i="5"/>
  <c r="EW140" i="5"/>
  <c r="EW147" i="5"/>
  <c r="EQ29" i="5"/>
  <c r="EQ33" i="5"/>
  <c r="EQ37" i="5"/>
  <c r="EQ41" i="5"/>
  <c r="EQ45" i="5"/>
  <c r="EQ51" i="5"/>
  <c r="EP52" i="5"/>
  <c r="FB127" i="5"/>
  <c r="EQ128" i="5"/>
  <c r="EV129" i="5"/>
  <c r="EV137" i="5"/>
  <c r="EW148" i="5"/>
  <c r="EQ14" i="5"/>
  <c r="EQ18" i="5"/>
  <c r="EO53" i="5"/>
  <c r="EQ61" i="5"/>
  <c r="EQ108" i="5"/>
  <c r="EQ115" i="5"/>
  <c r="EQ120" i="5"/>
  <c r="EQ121" i="5"/>
  <c r="EQ133" i="5"/>
  <c r="EV140" i="5"/>
  <c r="BK52" i="5"/>
  <c r="EP53" i="5"/>
  <c r="BK54" i="5"/>
  <c r="EQ119" i="5"/>
  <c r="EW126" i="5"/>
  <c r="EW128" i="5"/>
  <c r="EV147" i="5"/>
  <c r="EW144" i="5"/>
  <c r="ER144" i="5"/>
  <c r="EW119" i="5"/>
  <c r="ER119" i="5"/>
  <c r="EW125" i="5"/>
  <c r="EQ101" i="5"/>
  <c r="EV139" i="5"/>
  <c r="EV146" i="5"/>
  <c r="EQ13" i="5"/>
  <c r="EQ17" i="5"/>
  <c r="EQ21" i="5"/>
  <c r="F53" i="5"/>
  <c r="EQ57" i="5"/>
  <c r="EQ98" i="5"/>
  <c r="EQ103" i="5"/>
  <c r="EQ105" i="5"/>
  <c r="EQ107" i="5"/>
  <c r="EQ111" i="5"/>
  <c r="EQ117" i="5"/>
  <c r="EV119" i="5"/>
  <c r="EW129" i="5"/>
  <c r="EW146" i="5"/>
  <c r="EQ28" i="5"/>
  <c r="EQ30" i="5"/>
  <c r="EQ36" i="5"/>
  <c r="EQ38" i="5"/>
  <c r="EQ40" i="5"/>
  <c r="EQ46" i="5"/>
  <c r="EQ48" i="5"/>
  <c r="EQ49" i="5"/>
  <c r="EP54" i="5"/>
  <c r="ER109" i="5"/>
  <c r="EQ112" i="5"/>
  <c r="EW117" i="5"/>
  <c r="EV117" i="5"/>
  <c r="EQ123" i="5"/>
  <c r="EW132" i="5"/>
  <c r="EV144" i="5"/>
  <c r="EQ32" i="5"/>
  <c r="EQ34" i="5"/>
  <c r="EQ42" i="5"/>
  <c r="EQ44" i="5"/>
  <c r="EQ11" i="5"/>
  <c r="EQ15" i="5"/>
  <c r="EQ19" i="5"/>
  <c r="EQ23" i="5"/>
  <c r="EO52" i="5"/>
  <c r="BK53" i="5"/>
  <c r="EQ56" i="5"/>
  <c r="EQ99" i="5"/>
  <c r="EQ100" i="5"/>
  <c r="EV116" i="5"/>
  <c r="EV123" i="5"/>
  <c r="EQ126" i="5"/>
  <c r="EQ127" i="5"/>
  <c r="ER135" i="5"/>
  <c r="EW137" i="5"/>
  <c r="EV143" i="5"/>
  <c r="EW149" i="5"/>
  <c r="ER145" i="5"/>
  <c r="EV149" i="5"/>
  <c r="EQ54" i="5"/>
  <c r="ER99" i="5"/>
  <c r="EN52" i="5"/>
  <c r="ER149" i="5"/>
  <c r="FB149" i="5"/>
  <c r="CF102" i="5"/>
  <c r="ER102" i="5" s="1"/>
  <c r="CF104" i="5"/>
  <c r="ER104" i="5" s="1"/>
  <c r="EQ109" i="5"/>
  <c r="CF111" i="5"/>
  <c r="ER111" i="5" s="1"/>
  <c r="EW118" i="5"/>
  <c r="EW120" i="5"/>
  <c r="EW122" i="5"/>
  <c r="EW123" i="5"/>
  <c r="EW124" i="5"/>
  <c r="EV130" i="5"/>
  <c r="ER132" i="5"/>
  <c r="EW141" i="5"/>
  <c r="ER147" i="5"/>
  <c r="FB147" i="5"/>
  <c r="ER117" i="5"/>
  <c r="FB117" i="5"/>
  <c r="EV142" i="5"/>
  <c r="ER100" i="5"/>
  <c r="ER103" i="5"/>
  <c r="ER105" i="5"/>
  <c r="ER115" i="5"/>
  <c r="EV118" i="5"/>
  <c r="EV120" i="5"/>
  <c r="EV122" i="5"/>
  <c r="EQ124" i="5"/>
  <c r="EQ125" i="5"/>
  <c r="EV125" i="5"/>
  <c r="EW127" i="5"/>
  <c r="EQ131" i="5"/>
  <c r="EV131" i="5"/>
  <c r="EQ132" i="5"/>
  <c r="ER133" i="5"/>
  <c r="FB133" i="5"/>
  <c r="EV133" i="5"/>
  <c r="EW134" i="5"/>
  <c r="EW136" i="5"/>
  <c r="ER143" i="5"/>
  <c r="FB143" i="5"/>
  <c r="FB144" i="5"/>
  <c r="EN53" i="5"/>
  <c r="EN54" i="5"/>
  <c r="EQ114" i="5"/>
  <c r="ER114" i="5"/>
  <c r="EH115" i="5"/>
  <c r="EW115" i="5" s="1"/>
  <c r="EV115" i="5"/>
  <c r="CF101" i="5"/>
  <c r="ER101" i="5" s="1"/>
  <c r="ER110" i="5"/>
  <c r="ER112" i="5"/>
  <c r="EW130" i="5"/>
  <c r="EQ134" i="5"/>
  <c r="EV134" i="5"/>
  <c r="EW143" i="5"/>
  <c r="EW150" i="5"/>
  <c r="EQ116" i="5"/>
  <c r="EV126" i="5"/>
  <c r="EV127" i="5"/>
  <c r="EV128" i="5"/>
  <c r="EQ129" i="5"/>
  <c r="FB135" i="5"/>
  <c r="EH139" i="5"/>
  <c r="FB139" i="5" s="1"/>
  <c r="FB145" i="5"/>
  <c r="FB119" i="5"/>
  <c r="FB121" i="5"/>
  <c r="FB123" i="5"/>
  <c r="FB130" i="5"/>
  <c r="EV132" i="5"/>
  <c r="EK153" i="1"/>
  <c r="EK152" i="1"/>
  <c r="EK151" i="1"/>
  <c r="EJ153" i="1"/>
  <c r="W151" i="1"/>
  <c r="EJ152" i="1"/>
  <c r="W153" i="1"/>
  <c r="DO140" i="1"/>
  <c r="DO141" i="1"/>
  <c r="DO142" i="1"/>
  <c r="DO143" i="1"/>
  <c r="DO144" i="1"/>
  <c r="DO145" i="1"/>
  <c r="DO146" i="1"/>
  <c r="BP140" i="1"/>
  <c r="BP141" i="1"/>
  <c r="BP142" i="1"/>
  <c r="BP143" i="1"/>
  <c r="BP144" i="1"/>
  <c r="BP145" i="1"/>
  <c r="BP146" i="1"/>
  <c r="O140" i="1"/>
  <c r="O141" i="1"/>
  <c r="O142" i="1"/>
  <c r="O143" i="1"/>
  <c r="O144" i="1"/>
  <c r="O145" i="1"/>
  <c r="O146" i="1"/>
  <c r="DK140" i="1"/>
  <c r="DK141" i="1"/>
  <c r="DK142" i="1"/>
  <c r="DK143" i="1"/>
  <c r="DK144" i="1"/>
  <c r="DK145" i="1"/>
  <c r="DK146" i="1"/>
  <c r="BL144" i="1"/>
  <c r="K141" i="1"/>
  <c r="K142" i="1"/>
  <c r="K143" i="1"/>
  <c r="K145" i="1"/>
  <c r="DO147" i="1"/>
  <c r="DO148" i="1"/>
  <c r="DO149" i="1"/>
  <c r="DO150" i="1"/>
  <c r="DO151" i="1"/>
  <c r="BP147" i="1"/>
  <c r="BP148" i="1"/>
  <c r="BP149" i="1"/>
  <c r="BP150" i="1"/>
  <c r="BP151" i="1"/>
  <c r="O147" i="1"/>
  <c r="O148" i="1"/>
  <c r="O149" i="1"/>
  <c r="O150" i="1"/>
  <c r="O151" i="1"/>
  <c r="DK147" i="1"/>
  <c r="DK148" i="1"/>
  <c r="DK149" i="1"/>
  <c r="DK150" i="1"/>
  <c r="DK151" i="1"/>
  <c r="K148" i="1"/>
  <c r="K149" i="1"/>
  <c r="K150" i="1"/>
  <c r="K151" i="1"/>
  <c r="F149" i="1"/>
  <c r="V149" i="1"/>
  <c r="BG149" i="1"/>
  <c r="BX149" i="1" s="1"/>
  <c r="BV149" i="1"/>
  <c r="DF149" i="1"/>
  <c r="DV149" i="1" s="1"/>
  <c r="F150" i="1"/>
  <c r="AA150" i="1"/>
  <c r="AB150" i="1"/>
  <c r="AZ150" i="1"/>
  <c r="BA150" i="1"/>
  <c r="BG150" i="1"/>
  <c r="BX150" i="1" s="1"/>
  <c r="CA150" i="1"/>
  <c r="CB150" i="1"/>
  <c r="CY150" i="1"/>
  <c r="CZ150" i="1"/>
  <c r="DF150" i="1"/>
  <c r="DV150" i="1" s="1"/>
  <c r="DX150" i="1"/>
  <c r="DY150" i="1"/>
  <c r="F147" i="1"/>
  <c r="U147" i="1"/>
  <c r="V147" i="1"/>
  <c r="AT147" i="1"/>
  <c r="AU147" i="1"/>
  <c r="BG147" i="1"/>
  <c r="BX147" i="1" s="1"/>
  <c r="BV147" i="1"/>
  <c r="BW147" i="1"/>
  <c r="DF147" i="1"/>
  <c r="DV147" i="1" s="1"/>
  <c r="BU148" i="1"/>
  <c r="T148" i="1"/>
  <c r="DU146" i="1"/>
  <c r="BV146" i="1"/>
  <c r="U146" i="1"/>
  <c r="DX148" i="1"/>
  <c r="CY148" i="1"/>
  <c r="CA148" i="1"/>
  <c r="AZ148" i="1"/>
  <c r="Z148" i="1"/>
  <c r="AA148" i="1"/>
  <c r="AD108" i="2"/>
  <c r="AD109" i="2"/>
  <c r="AD110" i="2"/>
  <c r="AA108" i="2"/>
  <c r="AA109" i="2"/>
  <c r="AA110" i="2"/>
  <c r="N108" i="2"/>
  <c r="N109" i="2"/>
  <c r="N110" i="2"/>
  <c r="K108" i="2"/>
  <c r="K109" i="2"/>
  <c r="K110" i="2"/>
  <c r="DF142" i="1"/>
  <c r="DV142" i="1" s="1"/>
  <c r="DF143" i="1"/>
  <c r="DV143" i="1" s="1"/>
  <c r="DF144" i="1"/>
  <c r="DV144" i="1" s="1"/>
  <c r="DF145" i="1"/>
  <c r="DV145" i="1" s="1"/>
  <c r="DF146" i="1"/>
  <c r="DV146" i="1" s="1"/>
  <c r="DF148" i="1"/>
  <c r="DV148" i="1" s="1"/>
  <c r="BG142" i="1"/>
  <c r="BX142" i="1" s="1"/>
  <c r="BG143" i="1"/>
  <c r="BX143" i="1" s="1"/>
  <c r="BG144" i="1"/>
  <c r="BX144" i="1" s="1"/>
  <c r="BG145" i="1"/>
  <c r="BX145" i="1" s="1"/>
  <c r="BG146" i="1"/>
  <c r="BX146" i="1" s="1"/>
  <c r="BG148" i="1"/>
  <c r="BX148" i="1" s="1"/>
  <c r="F142" i="1"/>
  <c r="F143" i="1"/>
  <c r="F144" i="1"/>
  <c r="F145" i="1"/>
  <c r="F146" i="1"/>
  <c r="F148" i="1"/>
  <c r="H33" i="4"/>
  <c r="H36" i="4"/>
  <c r="H5" i="4"/>
  <c r="K46" i="4"/>
  <c r="K47" i="4"/>
  <c r="H47" i="4" s="1"/>
  <c r="K50" i="4"/>
  <c r="H50" i="4" s="1"/>
  <c r="K51" i="4"/>
  <c r="H51" i="4" s="1"/>
  <c r="K52" i="4"/>
  <c r="H52" i="4" s="1"/>
  <c r="I52" i="4" s="1"/>
  <c r="K53" i="4"/>
  <c r="K54" i="4"/>
  <c r="H54" i="4" s="1"/>
  <c r="K55" i="4"/>
  <c r="K56" i="4"/>
  <c r="K57" i="4"/>
  <c r="H57" i="4" s="1"/>
  <c r="K58" i="4"/>
  <c r="K59" i="4"/>
  <c r="H59" i="4" s="1"/>
  <c r="K60" i="4"/>
  <c r="K61" i="4"/>
  <c r="H61" i="4" s="1"/>
  <c r="K62" i="4"/>
  <c r="K63" i="4"/>
  <c r="K64" i="4"/>
  <c r="K65" i="4"/>
  <c r="K66" i="4"/>
  <c r="H66" i="4" s="1"/>
  <c r="K67" i="4"/>
  <c r="K68" i="4"/>
  <c r="H68" i="4" s="1"/>
  <c r="K69" i="4"/>
  <c r="K70" i="4"/>
  <c r="K72" i="4"/>
  <c r="H72" i="4" s="1"/>
  <c r="K73" i="4"/>
  <c r="H73" i="4" s="1"/>
  <c r="K74" i="4"/>
  <c r="H74" i="4" s="1"/>
  <c r="K75" i="4"/>
  <c r="H75" i="4" s="1"/>
  <c r="K76" i="4"/>
  <c r="K77" i="4"/>
  <c r="K78" i="4"/>
  <c r="K79" i="4"/>
  <c r="H79" i="4" s="1"/>
  <c r="K80" i="4"/>
  <c r="H80" i="4" s="1"/>
  <c r="K81" i="4"/>
  <c r="K82" i="4"/>
  <c r="H82" i="4" s="1"/>
  <c r="K83" i="4"/>
  <c r="K84" i="4"/>
  <c r="K85" i="4"/>
  <c r="H85" i="4" s="1"/>
  <c r="K86" i="4"/>
  <c r="K87" i="4"/>
  <c r="H87" i="4" s="1"/>
  <c r="K88" i="4"/>
  <c r="K89" i="4"/>
  <c r="H89" i="4" s="1"/>
  <c r="K90" i="4"/>
  <c r="K91" i="4"/>
  <c r="K92" i="4"/>
  <c r="H92" i="4" s="1"/>
  <c r="K93" i="4"/>
  <c r="H93" i="4" s="1"/>
  <c r="K94" i="4"/>
  <c r="H94" i="4" s="1"/>
  <c r="K95" i="4"/>
  <c r="K96" i="4"/>
  <c r="K97" i="4"/>
  <c r="K98" i="4"/>
  <c r="K99" i="4"/>
  <c r="H99" i="4" s="1"/>
  <c r="K100" i="4"/>
  <c r="H100" i="4" s="1"/>
  <c r="K101" i="4"/>
  <c r="H101" i="4" s="1"/>
  <c r="K102" i="4"/>
  <c r="H102" i="4" s="1"/>
  <c r="K45" i="4"/>
  <c r="H45" i="4" s="1"/>
  <c r="H8" i="4"/>
  <c r="H9" i="4"/>
  <c r="H10" i="4"/>
  <c r="H12" i="4"/>
  <c r="H15" i="4"/>
  <c r="H17" i="4"/>
  <c r="H19" i="4"/>
  <c r="H22" i="4"/>
  <c r="H24" i="4"/>
  <c r="H26" i="4"/>
  <c r="H29" i="4"/>
  <c r="H31" i="4"/>
  <c r="H39" i="4"/>
  <c r="H43" i="4"/>
  <c r="D3" i="4"/>
  <c r="F3" i="4" s="1"/>
  <c r="B69" i="3"/>
  <c r="B70" i="3"/>
  <c r="D81" i="4"/>
  <c r="F81" i="4" s="1"/>
  <c r="D85" i="4"/>
  <c r="F85" i="4" s="1"/>
  <c r="D92" i="4"/>
  <c r="F92" i="4" s="1"/>
  <c r="D93" i="4"/>
  <c r="F93" i="4" s="1"/>
  <c r="D94" i="4"/>
  <c r="F94" i="4" s="1"/>
  <c r="DF140" i="1"/>
  <c r="DV140" i="1" s="1"/>
  <c r="DF141" i="1"/>
  <c r="DV141" i="1" s="1"/>
  <c r="BG141" i="1"/>
  <c r="BX141" i="1" s="1"/>
  <c r="F141" i="1"/>
  <c r="EE141" i="1" l="1"/>
  <c r="EE146" i="1"/>
  <c r="EE142" i="1"/>
  <c r="EP154" i="1"/>
  <c r="EE144" i="1"/>
  <c r="EE148" i="1"/>
  <c r="EE143" i="1"/>
  <c r="EP152" i="1"/>
  <c r="EF163" i="1"/>
  <c r="EP163" i="1"/>
  <c r="EP165" i="1"/>
  <c r="EF165" i="1"/>
  <c r="EE147" i="1"/>
  <c r="EP159" i="1"/>
  <c r="EF159" i="1"/>
  <c r="EP164" i="1"/>
  <c r="EF164" i="1"/>
  <c r="EP161" i="1"/>
  <c r="EF161" i="1"/>
  <c r="EE145" i="1"/>
  <c r="W150" i="1"/>
  <c r="EE150" i="1"/>
  <c r="EP155" i="1"/>
  <c r="EF155" i="1"/>
  <c r="EP162" i="1"/>
  <c r="EF162" i="1"/>
  <c r="EP160" i="1"/>
  <c r="EF160" i="1"/>
  <c r="EP157" i="1"/>
  <c r="EF157" i="1"/>
  <c r="EE149" i="1"/>
  <c r="EP167" i="1"/>
  <c r="EF167" i="1"/>
  <c r="EP158" i="1"/>
  <c r="EF158" i="1"/>
  <c r="EP156" i="1"/>
  <c r="EF156" i="1"/>
  <c r="EF170" i="1"/>
  <c r="EP170" i="1"/>
  <c r="EP169" i="1"/>
  <c r="EF169" i="1"/>
  <c r="EP166" i="1"/>
  <c r="EF166" i="1"/>
  <c r="AE109" i="2"/>
  <c r="AZ197" i="1"/>
  <c r="AZ196" i="1"/>
  <c r="BU197" i="1"/>
  <c r="BU196" i="1"/>
  <c r="AB197" i="1"/>
  <c r="AB196" i="1"/>
  <c r="DX197" i="1"/>
  <c r="DX196" i="1"/>
  <c r="V196" i="1"/>
  <c r="V197" i="1"/>
  <c r="CB197" i="1"/>
  <c r="CB196" i="1"/>
  <c r="CA197" i="1"/>
  <c r="CA196" i="1"/>
  <c r="AU197" i="1"/>
  <c r="AU196" i="1"/>
  <c r="CZ197" i="1"/>
  <c r="CZ196" i="1"/>
  <c r="Z196" i="1"/>
  <c r="Z197" i="1"/>
  <c r="T197" i="1"/>
  <c r="T196" i="1"/>
  <c r="AA197" i="1"/>
  <c r="AA196" i="1"/>
  <c r="CY197" i="1"/>
  <c r="CY196" i="1"/>
  <c r="DU197" i="1"/>
  <c r="DU196" i="1"/>
  <c r="BW197" i="1"/>
  <c r="BW196" i="1"/>
  <c r="DY196" i="1"/>
  <c r="DY197" i="1"/>
  <c r="BA197" i="1"/>
  <c r="BA196" i="1"/>
  <c r="O110" i="2"/>
  <c r="EK143" i="1"/>
  <c r="EK148" i="1"/>
  <c r="EQ53" i="5"/>
  <c r="EQ52" i="5"/>
  <c r="FB141" i="5"/>
  <c r="EW139" i="5"/>
  <c r="FB115" i="5"/>
  <c r="ER137" i="5"/>
  <c r="FB137" i="5"/>
  <c r="ER140" i="5"/>
  <c r="FB140" i="5"/>
  <c r="FB131" i="5"/>
  <c r="ER131" i="5"/>
  <c r="FB125" i="5"/>
  <c r="ER125" i="5"/>
  <c r="FB148" i="5"/>
  <c r="ER148" i="5"/>
  <c r="ER129" i="5"/>
  <c r="FB129" i="5"/>
  <c r="FB134" i="5"/>
  <c r="ER134" i="5"/>
  <c r="ER122" i="5"/>
  <c r="FB122" i="5"/>
  <c r="ER118" i="5"/>
  <c r="FB118" i="5"/>
  <c r="FB126" i="5"/>
  <c r="ER126" i="5"/>
  <c r="FB136" i="5"/>
  <c r="ER136" i="5"/>
  <c r="ER124" i="5"/>
  <c r="FB124" i="5"/>
  <c r="ER120" i="5"/>
  <c r="FB120" i="5"/>
  <c r="ER150" i="5"/>
  <c r="FB150" i="5"/>
  <c r="ER146" i="5"/>
  <c r="FB146" i="5"/>
  <c r="FB128" i="5"/>
  <c r="ER128" i="5"/>
  <c r="FB142" i="5"/>
  <c r="ER142" i="5"/>
  <c r="AE110" i="2"/>
  <c r="EK149" i="1"/>
  <c r="EP153" i="1"/>
  <c r="EF153" i="1"/>
  <c r="EK144" i="1"/>
  <c r="EK146" i="1"/>
  <c r="EK142" i="1"/>
  <c r="EK150" i="1"/>
  <c r="EF151" i="1"/>
  <c r="EP151" i="1"/>
  <c r="EK145" i="1"/>
  <c r="W145" i="1"/>
  <c r="EF145" i="1" s="1"/>
  <c r="EJ145" i="1"/>
  <c r="W144" i="1"/>
  <c r="EJ144" i="1"/>
  <c r="EJ150" i="1"/>
  <c r="W146" i="1"/>
  <c r="EJ146" i="1"/>
  <c r="W142" i="1"/>
  <c r="EJ142" i="1"/>
  <c r="W147" i="1"/>
  <c r="EJ147" i="1"/>
  <c r="W149" i="1"/>
  <c r="EF149" i="1" s="1"/>
  <c r="EJ149" i="1"/>
  <c r="EF150" i="1"/>
  <c r="EJ141" i="1"/>
  <c r="W148" i="1"/>
  <c r="EP148" i="1" s="1"/>
  <c r="EJ148" i="1"/>
  <c r="W143" i="1"/>
  <c r="EP143" i="1" s="1"/>
  <c r="EJ143" i="1"/>
  <c r="EK147" i="1"/>
  <c r="EP145" i="1"/>
  <c r="EP150" i="1"/>
  <c r="O108" i="2"/>
  <c r="O109" i="2"/>
  <c r="AE108" i="2"/>
  <c r="EK141" i="1"/>
  <c r="I94" i="4"/>
  <c r="I85" i="4"/>
  <c r="AD107" i="2"/>
  <c r="N107" i="2"/>
  <c r="BV141" i="1"/>
  <c r="BV140" i="1"/>
  <c r="BV139" i="1"/>
  <c r="BV138" i="1"/>
  <c r="BV137" i="1"/>
  <c r="W141" i="1"/>
  <c r="EF141" i="1" s="1"/>
  <c r="F140" i="1"/>
  <c r="F56" i="4"/>
  <c r="D20" i="4"/>
  <c r="F20" i="4" s="1"/>
  <c r="D21" i="4"/>
  <c r="F21" i="4" s="1"/>
  <c r="D4" i="4"/>
  <c r="F4" i="4" s="1"/>
  <c r="D5" i="4"/>
  <c r="F5" i="4" s="1"/>
  <c r="I5" i="4" s="1"/>
  <c r="D6" i="4"/>
  <c r="F6" i="4" s="1"/>
  <c r="D7" i="4"/>
  <c r="F7" i="4" s="1"/>
  <c r="D8" i="4"/>
  <c r="F8" i="4" s="1"/>
  <c r="I8" i="4" s="1"/>
  <c r="D9" i="4"/>
  <c r="F9" i="4" s="1"/>
  <c r="I9" i="4" s="1"/>
  <c r="D10" i="4"/>
  <c r="F10" i="4" s="1"/>
  <c r="I10" i="4" s="1"/>
  <c r="D11" i="4"/>
  <c r="F11" i="4" s="1"/>
  <c r="D12" i="4"/>
  <c r="F12" i="4" s="1"/>
  <c r="I12" i="4" s="1"/>
  <c r="D13" i="4"/>
  <c r="F13" i="4" s="1"/>
  <c r="D14" i="4"/>
  <c r="F14" i="4" s="1"/>
  <c r="D15" i="4"/>
  <c r="F15" i="4" s="1"/>
  <c r="I15" i="4" s="1"/>
  <c r="D16" i="4"/>
  <c r="F16" i="4" s="1"/>
  <c r="D17" i="4"/>
  <c r="F17" i="4" s="1"/>
  <c r="I17" i="4" s="1"/>
  <c r="D18" i="4"/>
  <c r="F18" i="4" s="1"/>
  <c r="D19" i="4"/>
  <c r="F19" i="4" s="1"/>
  <c r="I19" i="4" s="1"/>
  <c r="D22" i="4"/>
  <c r="F22" i="4" s="1"/>
  <c r="I22" i="4" s="1"/>
  <c r="D23" i="4"/>
  <c r="F23" i="4" s="1"/>
  <c r="D24" i="4"/>
  <c r="F24" i="4" s="1"/>
  <c r="I24" i="4" s="1"/>
  <c r="D25" i="4"/>
  <c r="F25" i="4" s="1"/>
  <c r="D26" i="4"/>
  <c r="F26" i="4" s="1"/>
  <c r="I26" i="4" s="1"/>
  <c r="D27" i="4"/>
  <c r="F27" i="4" s="1"/>
  <c r="D28" i="4"/>
  <c r="F28" i="4" s="1"/>
  <c r="D29" i="4"/>
  <c r="F29" i="4" s="1"/>
  <c r="I29" i="4" s="1"/>
  <c r="D30" i="4"/>
  <c r="F30" i="4" s="1"/>
  <c r="D31" i="4"/>
  <c r="F31" i="4" s="1"/>
  <c r="I31" i="4" s="1"/>
  <c r="D32" i="4"/>
  <c r="D33" i="4"/>
  <c r="F33" i="4" s="1"/>
  <c r="I33" i="4" s="1"/>
  <c r="D36" i="4"/>
  <c r="F36" i="4" s="1"/>
  <c r="D37" i="4"/>
  <c r="F37" i="4" s="1"/>
  <c r="D38" i="4"/>
  <c r="F38" i="4" s="1"/>
  <c r="D39" i="4"/>
  <c r="F39" i="4" s="1"/>
  <c r="I39" i="4" s="1"/>
  <c r="D40" i="4"/>
  <c r="F40" i="4" s="1"/>
  <c r="D41" i="4"/>
  <c r="F41" i="4" s="1"/>
  <c r="D42" i="4"/>
  <c r="F42" i="4" s="1"/>
  <c r="D43" i="4"/>
  <c r="F43" i="4" s="1"/>
  <c r="I43" i="4" s="1"/>
  <c r="D44" i="4"/>
  <c r="F44" i="4" s="1"/>
  <c r="D45" i="4"/>
  <c r="D46" i="4"/>
  <c r="D50" i="4"/>
  <c r="F50" i="4" s="1"/>
  <c r="I50" i="4" s="1"/>
  <c r="D51" i="4"/>
  <c r="F51" i="4" s="1"/>
  <c r="I51" i="4" s="1"/>
  <c r="D54" i="4"/>
  <c r="F54" i="4" s="1"/>
  <c r="I54" i="4" s="1"/>
  <c r="D55" i="4"/>
  <c r="F55" i="4" s="1"/>
  <c r="D57" i="4"/>
  <c r="F57" i="4" s="1"/>
  <c r="I57" i="4" s="1"/>
  <c r="D58" i="4"/>
  <c r="F58" i="4" s="1"/>
  <c r="D59" i="4"/>
  <c r="F59" i="4" s="1"/>
  <c r="I59" i="4" s="1"/>
  <c r="D60" i="4"/>
  <c r="F60" i="4" s="1"/>
  <c r="D61" i="4"/>
  <c r="F61" i="4" s="1"/>
  <c r="I61" i="4" s="1"/>
  <c r="D62" i="4"/>
  <c r="F62" i="4" s="1"/>
  <c r="D63" i="4"/>
  <c r="F63" i="4" s="1"/>
  <c r="D64" i="4"/>
  <c r="F64" i="4" s="1"/>
  <c r="D65" i="4"/>
  <c r="F65" i="4" s="1"/>
  <c r="D66" i="4"/>
  <c r="F66" i="4" s="1"/>
  <c r="I66" i="4" s="1"/>
  <c r="D67" i="4"/>
  <c r="D68" i="4"/>
  <c r="F68" i="4" s="1"/>
  <c r="I68" i="4" s="1"/>
  <c r="D69" i="4"/>
  <c r="F69" i="4" s="1"/>
  <c r="D70" i="4"/>
  <c r="F70" i="4" s="1"/>
  <c r="D71" i="4"/>
  <c r="F71" i="4" s="1"/>
  <c r="D72" i="4"/>
  <c r="D73" i="4"/>
  <c r="D74" i="4"/>
  <c r="D75" i="4"/>
  <c r="F75" i="4" s="1"/>
  <c r="I75" i="4" s="1"/>
  <c r="D76" i="4"/>
  <c r="F76" i="4" s="1"/>
  <c r="D77" i="4"/>
  <c r="F77" i="4" s="1"/>
  <c r="D78" i="4"/>
  <c r="F78" i="4" s="1"/>
  <c r="D79" i="4"/>
  <c r="F79" i="4" s="1"/>
  <c r="I79" i="4" s="1"/>
  <c r="D80" i="4"/>
  <c r="F80" i="4" s="1"/>
  <c r="I80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2" i="4" s="1"/>
  <c r="BL101" i="1"/>
  <c r="BL102" i="1"/>
  <c r="BL103" i="1"/>
  <c r="BL104" i="1"/>
  <c r="BL105" i="1"/>
  <c r="BL109" i="1"/>
  <c r="K99" i="1"/>
  <c r="K100" i="1"/>
  <c r="K101" i="1"/>
  <c r="K102" i="1"/>
  <c r="K103" i="1"/>
  <c r="K104" i="1"/>
  <c r="K105" i="1"/>
  <c r="K107" i="1"/>
  <c r="K108" i="1"/>
  <c r="K109" i="1"/>
  <c r="K110" i="1"/>
  <c r="K97" i="1"/>
  <c r="BL99" i="1"/>
  <c r="BL100" i="1"/>
  <c r="DK116" i="1"/>
  <c r="DK117" i="1"/>
  <c r="DK118" i="1"/>
  <c r="DK119" i="1"/>
  <c r="DK120" i="1"/>
  <c r="DK121" i="1"/>
  <c r="DK122" i="1"/>
  <c r="BL116" i="1"/>
  <c r="BL117" i="1"/>
  <c r="BL118" i="1"/>
  <c r="BL119" i="1"/>
  <c r="BL120" i="1"/>
  <c r="BL121" i="1"/>
  <c r="BL122" i="1"/>
  <c r="BL123" i="1"/>
  <c r="BL125" i="1"/>
  <c r="K116" i="1"/>
  <c r="K117" i="1"/>
  <c r="K118" i="1"/>
  <c r="K119" i="1"/>
  <c r="K120" i="1"/>
  <c r="K121" i="1"/>
  <c r="K122" i="1"/>
  <c r="K123" i="1"/>
  <c r="K124" i="1"/>
  <c r="DK124" i="1"/>
  <c r="DK123" i="1"/>
  <c r="F124" i="1"/>
  <c r="W124" i="1" s="1"/>
  <c r="O124" i="1"/>
  <c r="BG124" i="1"/>
  <c r="BX124" i="1" s="1"/>
  <c r="BP124" i="1"/>
  <c r="DF124" i="1"/>
  <c r="DV124" i="1" s="1"/>
  <c r="DO124" i="1"/>
  <c r="EB124" i="1"/>
  <c r="EC124" i="1"/>
  <c r="ED124" i="1"/>
  <c r="AA107" i="2"/>
  <c r="AE107" i="2" s="1"/>
  <c r="K107" i="2"/>
  <c r="O107" i="2" s="1"/>
  <c r="DO115" i="1"/>
  <c r="DO116" i="1"/>
  <c r="DO117" i="1"/>
  <c r="DO118" i="1"/>
  <c r="DO119" i="1"/>
  <c r="DO120" i="1"/>
  <c r="DO121" i="1"/>
  <c r="DO122" i="1"/>
  <c r="DO123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O97" i="1"/>
  <c r="O9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96" i="1"/>
  <c r="DK11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9" i="1"/>
  <c r="BL97" i="1"/>
  <c r="BL98" i="1"/>
  <c r="BL113" i="1"/>
  <c r="BL114" i="1"/>
  <c r="BL115" i="1"/>
  <c r="BL129" i="1"/>
  <c r="BL133" i="1"/>
  <c r="BL135" i="1"/>
  <c r="BL136" i="1"/>
  <c r="BL96" i="1"/>
  <c r="K113" i="1"/>
  <c r="K114" i="1"/>
  <c r="K115" i="1"/>
  <c r="K125" i="1"/>
  <c r="K127" i="1"/>
  <c r="K129" i="1"/>
  <c r="K130" i="1"/>
  <c r="K131" i="1"/>
  <c r="K132" i="1"/>
  <c r="K133" i="1"/>
  <c r="K134" i="1"/>
  <c r="K135" i="1"/>
  <c r="K136" i="1"/>
  <c r="K138" i="1"/>
  <c r="AD106" i="2"/>
  <c r="N106" i="2"/>
  <c r="DF135" i="1"/>
  <c r="DV135" i="1" s="1"/>
  <c r="DF136" i="1"/>
  <c r="DV136" i="1" s="1"/>
  <c r="DF137" i="1"/>
  <c r="DV137" i="1" s="1"/>
  <c r="DF139" i="1"/>
  <c r="DV139" i="1" s="1"/>
  <c r="BG135" i="1"/>
  <c r="BX135" i="1" s="1"/>
  <c r="BG136" i="1"/>
  <c r="BX136" i="1" s="1"/>
  <c r="BG137" i="1"/>
  <c r="BX137" i="1" s="1"/>
  <c r="BG138" i="1"/>
  <c r="BX138" i="1" s="1"/>
  <c r="BG139" i="1"/>
  <c r="BX139" i="1" s="1"/>
  <c r="BG140" i="1"/>
  <c r="BX140" i="1" s="1"/>
  <c r="EK140" i="1" s="1"/>
  <c r="F135" i="1"/>
  <c r="F136" i="1"/>
  <c r="F137" i="1"/>
  <c r="F138" i="1"/>
  <c r="F139" i="1"/>
  <c r="EE136" i="1" l="1"/>
  <c r="EE139" i="1"/>
  <c r="EE135" i="1"/>
  <c r="EE138" i="1"/>
  <c r="EE137" i="1"/>
  <c r="EE140" i="1"/>
  <c r="EK135" i="1"/>
  <c r="O197" i="1"/>
  <c r="O196" i="1"/>
  <c r="BP197" i="1"/>
  <c r="BP196" i="1"/>
  <c r="DK197" i="1"/>
  <c r="DK196" i="1"/>
  <c r="BL197" i="1"/>
  <c r="BL196" i="1"/>
  <c r="DO197" i="1"/>
  <c r="DO196" i="1"/>
  <c r="K197" i="1"/>
  <c r="K196" i="1"/>
  <c r="EF143" i="1"/>
  <c r="W140" i="1"/>
  <c r="EF140" i="1" s="1"/>
  <c r="EJ140" i="1"/>
  <c r="EF142" i="1"/>
  <c r="EP142" i="1"/>
  <c r="EP149" i="1"/>
  <c r="EP144" i="1"/>
  <c r="EF144" i="1"/>
  <c r="EP147" i="1"/>
  <c r="EF147" i="1"/>
  <c r="EF146" i="1"/>
  <c r="EP146" i="1"/>
  <c r="EF148" i="1"/>
  <c r="EK137" i="1"/>
  <c r="EK136" i="1"/>
  <c r="EK139" i="1"/>
  <c r="EP124" i="1"/>
  <c r="EP141" i="1"/>
  <c r="EK124" i="1"/>
  <c r="B85" i="4"/>
  <c r="B87" i="4" s="1"/>
  <c r="B89" i="4" s="1"/>
  <c r="B84" i="4"/>
  <c r="EF124" i="1"/>
  <c r="B34" i="4"/>
  <c r="B35" i="4" s="1"/>
  <c r="B81" i="4"/>
  <c r="B83" i="4" s="1"/>
  <c r="B86" i="4" s="1"/>
  <c r="B88" i="4" s="1"/>
  <c r="B90" i="4" s="1"/>
  <c r="EE124" i="1"/>
  <c r="EJ124" i="1"/>
  <c r="EJ137" i="1"/>
  <c r="EJ139" i="1"/>
  <c r="EJ136" i="1"/>
  <c r="EJ135" i="1"/>
  <c r="W135" i="1"/>
  <c r="W136" i="1"/>
  <c r="W137" i="1"/>
  <c r="W138" i="1"/>
  <c r="EF138" i="1" s="1"/>
  <c r="W139" i="1"/>
  <c r="X101" i="2"/>
  <c r="AA101" i="2" s="1"/>
  <c r="Y102" i="2"/>
  <c r="AA102" i="2" s="1"/>
  <c r="Y103" i="2"/>
  <c r="AA103" i="2" s="1"/>
  <c r="AD100" i="2"/>
  <c r="AD101" i="2"/>
  <c r="AD102" i="2"/>
  <c r="AD103" i="2"/>
  <c r="AA106" i="2"/>
  <c r="AE106" i="2" s="1"/>
  <c r="N101" i="2"/>
  <c r="N102" i="2"/>
  <c r="N103" i="2"/>
  <c r="K101" i="2"/>
  <c r="K102" i="2"/>
  <c r="K103" i="2"/>
  <c r="K106" i="2"/>
  <c r="O106" i="2" s="1"/>
  <c r="B39" i="3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EC117" i="1"/>
  <c r="ED117" i="1"/>
  <c r="EC118" i="1"/>
  <c r="ED118" i="1"/>
  <c r="EC119" i="1"/>
  <c r="ED119" i="1"/>
  <c r="EC120" i="1"/>
  <c r="ED120" i="1"/>
  <c r="EC121" i="1"/>
  <c r="ED121" i="1"/>
  <c r="EC122" i="1"/>
  <c r="ED122" i="1"/>
  <c r="EC123" i="1"/>
  <c r="ED123" i="1"/>
  <c r="EC125" i="1"/>
  <c r="ED125" i="1"/>
  <c r="EC126" i="1"/>
  <c r="ED126" i="1"/>
  <c r="EC127" i="1"/>
  <c r="ED127" i="1"/>
  <c r="EC128" i="1"/>
  <c r="ED128" i="1"/>
  <c r="EC129" i="1"/>
  <c r="ED129" i="1"/>
  <c r="EC130" i="1"/>
  <c r="ED130" i="1"/>
  <c r="EC131" i="1"/>
  <c r="ED131" i="1"/>
  <c r="EC132" i="1"/>
  <c r="ED132" i="1"/>
  <c r="EC133" i="1"/>
  <c r="ED133" i="1"/>
  <c r="EC134" i="1"/>
  <c r="ED134" i="1"/>
  <c r="EB117" i="1"/>
  <c r="EB118" i="1"/>
  <c r="EB119" i="1"/>
  <c r="EB120" i="1"/>
  <c r="EB121" i="1"/>
  <c r="EB122" i="1"/>
  <c r="EB123" i="1"/>
  <c r="EB125" i="1"/>
  <c r="EB126" i="1"/>
  <c r="EB127" i="1"/>
  <c r="EB128" i="1"/>
  <c r="EB129" i="1"/>
  <c r="EB130" i="1"/>
  <c r="EB131" i="1"/>
  <c r="EB132" i="1"/>
  <c r="EB133" i="1"/>
  <c r="EB134" i="1"/>
  <c r="EB116" i="1"/>
  <c r="DF125" i="1"/>
  <c r="DV125" i="1" s="1"/>
  <c r="DF126" i="1"/>
  <c r="DV126" i="1" s="1"/>
  <c r="DF127" i="1"/>
  <c r="DV127" i="1" s="1"/>
  <c r="DF128" i="1"/>
  <c r="DV128" i="1" s="1"/>
  <c r="DF129" i="1"/>
  <c r="DV129" i="1" s="1"/>
  <c r="DF130" i="1"/>
  <c r="DV130" i="1" s="1"/>
  <c r="DF131" i="1"/>
  <c r="DV131" i="1" s="1"/>
  <c r="DF132" i="1"/>
  <c r="DV132" i="1" s="1"/>
  <c r="DF133" i="1"/>
  <c r="DV133" i="1" s="1"/>
  <c r="DF134" i="1"/>
  <c r="DV134" i="1" s="1"/>
  <c r="BG125" i="1"/>
  <c r="BX125" i="1" s="1"/>
  <c r="BG126" i="1"/>
  <c r="BX126" i="1" s="1"/>
  <c r="BG127" i="1"/>
  <c r="BX127" i="1" s="1"/>
  <c r="BG128" i="1"/>
  <c r="BX128" i="1" s="1"/>
  <c r="BG129" i="1"/>
  <c r="BX129" i="1" s="1"/>
  <c r="BG130" i="1"/>
  <c r="BX130" i="1" s="1"/>
  <c r="BG131" i="1"/>
  <c r="BX131" i="1" s="1"/>
  <c r="BG132" i="1"/>
  <c r="BX132" i="1" s="1"/>
  <c r="BG133" i="1"/>
  <c r="BX133" i="1" s="1"/>
  <c r="BG134" i="1"/>
  <c r="BX134" i="1" s="1"/>
  <c r="F125" i="1"/>
  <c r="F126" i="1"/>
  <c r="F127" i="1"/>
  <c r="F128" i="1"/>
  <c r="F129" i="1"/>
  <c r="F130" i="1"/>
  <c r="F131" i="1"/>
  <c r="F132" i="1"/>
  <c r="F133" i="1"/>
  <c r="F134" i="1"/>
  <c r="EP140" i="1" l="1"/>
  <c r="EK131" i="1"/>
  <c r="EK127" i="1"/>
  <c r="EK134" i="1"/>
  <c r="EK130" i="1"/>
  <c r="EK126" i="1"/>
  <c r="EF136" i="1"/>
  <c r="EP136" i="1"/>
  <c r="EF139" i="1"/>
  <c r="EP139" i="1"/>
  <c r="EF135" i="1"/>
  <c r="EP135" i="1"/>
  <c r="EK133" i="1"/>
  <c r="EK129" i="1"/>
  <c r="EK125" i="1"/>
  <c r="EK132" i="1"/>
  <c r="EK128" i="1"/>
  <c r="EF137" i="1"/>
  <c r="EP137" i="1"/>
  <c r="B92" i="4"/>
  <c r="B94" i="4" s="1"/>
  <c r="B91" i="4"/>
  <c r="B117" i="3"/>
  <c r="B116" i="3"/>
  <c r="B118" i="3" s="1"/>
  <c r="B121" i="3" s="1"/>
  <c r="B123" i="3" s="1"/>
  <c r="B125" i="3" s="1"/>
  <c r="B128" i="3" s="1"/>
  <c r="B130" i="3" s="1"/>
  <c r="B132" i="3" s="1"/>
  <c r="AE101" i="2"/>
  <c r="EE132" i="1"/>
  <c r="EJ132" i="1"/>
  <c r="W127" i="1"/>
  <c r="EP127" i="1" s="1"/>
  <c r="EJ127" i="1"/>
  <c r="EE128" i="1"/>
  <c r="EJ128" i="1"/>
  <c r="W131" i="1"/>
  <c r="EJ131" i="1"/>
  <c r="W134" i="1"/>
  <c r="EJ134" i="1"/>
  <c r="W130" i="1"/>
  <c r="EJ130" i="1"/>
  <c r="W126" i="1"/>
  <c r="EJ126" i="1"/>
  <c r="W133" i="1"/>
  <c r="EJ133" i="1"/>
  <c r="W129" i="1"/>
  <c r="EJ129" i="1"/>
  <c r="W125" i="1"/>
  <c r="EJ125" i="1"/>
  <c r="O101" i="2"/>
  <c r="AE102" i="2"/>
  <c r="O102" i="2"/>
  <c r="O103" i="2"/>
  <c r="AE103" i="2"/>
  <c r="EE134" i="1"/>
  <c r="EE130" i="1"/>
  <c r="EE126" i="1"/>
  <c r="W132" i="1"/>
  <c r="W128" i="1"/>
  <c r="EE131" i="1"/>
  <c r="EE127" i="1"/>
  <c r="EE133" i="1"/>
  <c r="EE129" i="1"/>
  <c r="EE125" i="1"/>
  <c r="AA100" i="2"/>
  <c r="AE100" i="2" s="1"/>
  <c r="AD99" i="2"/>
  <c r="AA99" i="2"/>
  <c r="AC91" i="2"/>
  <c r="AD91" i="2" s="1"/>
  <c r="AA91" i="2"/>
  <c r="X90" i="2"/>
  <c r="AB86" i="2"/>
  <c r="AD97" i="2"/>
  <c r="AD98" i="2"/>
  <c r="AA97" i="2"/>
  <c r="AA98" i="2"/>
  <c r="N97" i="2"/>
  <c r="K97" i="2"/>
  <c r="BG123" i="1"/>
  <c r="BX123" i="1" s="1"/>
  <c r="Y84" i="2"/>
  <c r="X84" i="2"/>
  <c r="Y85" i="2"/>
  <c r="Y86" i="2"/>
  <c r="Y87" i="2"/>
  <c r="DF118" i="1"/>
  <c r="DV118" i="1" s="1"/>
  <c r="DF119" i="1"/>
  <c r="DV119" i="1" s="1"/>
  <c r="DF120" i="1"/>
  <c r="DV120" i="1" s="1"/>
  <c r="DF121" i="1"/>
  <c r="DV121" i="1" s="1"/>
  <c r="DF122" i="1"/>
  <c r="DV122" i="1" s="1"/>
  <c r="DF123" i="1"/>
  <c r="DV123" i="1" s="1"/>
  <c r="CH118" i="1"/>
  <c r="CH119" i="1"/>
  <c r="CH120" i="1"/>
  <c r="CH121" i="1"/>
  <c r="CH122" i="1"/>
  <c r="BG118" i="1"/>
  <c r="BX118" i="1" s="1"/>
  <c r="BG119" i="1"/>
  <c r="BX119" i="1" s="1"/>
  <c r="BG120" i="1"/>
  <c r="BX120" i="1" s="1"/>
  <c r="BG121" i="1"/>
  <c r="BX121" i="1" s="1"/>
  <c r="BG122" i="1"/>
  <c r="BX122" i="1" s="1"/>
  <c r="EK118" i="1" l="1"/>
  <c r="EK122" i="1"/>
  <c r="EK121" i="1"/>
  <c r="EK120" i="1"/>
  <c r="EK119" i="1"/>
  <c r="EF125" i="1"/>
  <c r="EP125" i="1"/>
  <c r="EF133" i="1"/>
  <c r="EP133" i="1"/>
  <c r="EF130" i="1"/>
  <c r="EP130" i="1"/>
  <c r="EF131" i="1"/>
  <c r="EP131" i="1"/>
  <c r="EF128" i="1"/>
  <c r="EP128" i="1"/>
  <c r="EK123" i="1"/>
  <c r="EF132" i="1"/>
  <c r="EP132" i="1"/>
  <c r="EF129" i="1"/>
  <c r="EP129" i="1"/>
  <c r="EF126" i="1"/>
  <c r="EP126" i="1"/>
  <c r="EF134" i="1"/>
  <c r="EP134" i="1"/>
  <c r="B93" i="4"/>
  <c r="B95" i="4" s="1"/>
  <c r="B97" i="4" s="1"/>
  <c r="B99" i="4"/>
  <c r="B100" i="4" s="1"/>
  <c r="B101" i="4" s="1"/>
  <c r="B102" i="4" s="1"/>
  <c r="B96" i="4"/>
  <c r="B98" i="4" s="1"/>
  <c r="B120" i="3"/>
  <c r="B122" i="3" s="1"/>
  <c r="B124" i="3" s="1"/>
  <c r="B119" i="3"/>
  <c r="AE99" i="2"/>
  <c r="AE98" i="2"/>
  <c r="O97" i="2"/>
  <c r="AE91" i="2"/>
  <c r="AE97" i="2"/>
  <c r="AC83" i="2"/>
  <c r="AB83" i="2"/>
  <c r="M88" i="2"/>
  <c r="N88" i="2" s="1"/>
  <c r="N89" i="2"/>
  <c r="N92" i="2"/>
  <c r="N93" i="2"/>
  <c r="N94" i="2"/>
  <c r="N95" i="2"/>
  <c r="K89" i="2"/>
  <c r="K92" i="2"/>
  <c r="K93" i="2"/>
  <c r="K94" i="2"/>
  <c r="K95" i="2"/>
  <c r="H88" i="2"/>
  <c r="K88" i="2" s="1"/>
  <c r="AA88" i="2"/>
  <c r="X86" i="2"/>
  <c r="AD88" i="2"/>
  <c r="AD90" i="2"/>
  <c r="AD92" i="2"/>
  <c r="AD93" i="2"/>
  <c r="AD94" i="2"/>
  <c r="AD95" i="2"/>
  <c r="AD96" i="2"/>
  <c r="AA89" i="2"/>
  <c r="AA90" i="2"/>
  <c r="AA92" i="2"/>
  <c r="AA93" i="2"/>
  <c r="AA94" i="2"/>
  <c r="AA95" i="2"/>
  <c r="AA96" i="2"/>
  <c r="F118" i="1"/>
  <c r="EJ118" i="1" s="1"/>
  <c r="F119" i="1"/>
  <c r="EJ119" i="1" s="1"/>
  <c r="F120" i="1"/>
  <c r="EJ120" i="1" s="1"/>
  <c r="F121" i="1"/>
  <c r="EJ121" i="1" s="1"/>
  <c r="F122" i="1"/>
  <c r="EJ122" i="1" s="1"/>
  <c r="F123" i="1"/>
  <c r="EJ123" i="1" s="1"/>
  <c r="BG117" i="1"/>
  <c r="BX117" i="1" s="1"/>
  <c r="AH117" i="1"/>
  <c r="DF116" i="1"/>
  <c r="DV116" i="1" s="1"/>
  <c r="DF117" i="1"/>
  <c r="DV117" i="1" s="1"/>
  <c r="DF115" i="1"/>
  <c r="CH116" i="1"/>
  <c r="CH117" i="1"/>
  <c r="F117" i="1"/>
  <c r="EB110" i="1"/>
  <c r="EC110" i="1"/>
  <c r="ED110" i="1"/>
  <c r="EB111" i="1"/>
  <c r="EC111" i="1"/>
  <c r="ED111" i="1"/>
  <c r="EB112" i="1"/>
  <c r="EC112" i="1"/>
  <c r="ED112" i="1"/>
  <c r="EB113" i="1"/>
  <c r="EC113" i="1"/>
  <c r="ED113" i="1"/>
  <c r="EB114" i="1"/>
  <c r="EC114" i="1"/>
  <c r="ED114" i="1"/>
  <c r="EB115" i="1"/>
  <c r="EC115" i="1"/>
  <c r="ED115" i="1"/>
  <c r="EC116" i="1"/>
  <c r="ED116" i="1"/>
  <c r="Y83" i="2"/>
  <c r="AA83" i="2" s="1"/>
  <c r="CH115" i="1"/>
  <c r="BG112" i="1"/>
  <c r="BX112" i="1" s="1"/>
  <c r="BX113" i="1"/>
  <c r="BX114" i="1"/>
  <c r="BG115" i="1"/>
  <c r="BX115" i="1" s="1"/>
  <c r="BG116" i="1"/>
  <c r="AC82" i="2"/>
  <c r="AD82" i="2" s="1"/>
  <c r="X82" i="2"/>
  <c r="AA82" i="2" s="1"/>
  <c r="L82" i="2"/>
  <c r="N82" i="2" s="1"/>
  <c r="I82" i="2"/>
  <c r="H82" i="2"/>
  <c r="I81" i="2"/>
  <c r="K81" i="2" s="1"/>
  <c r="M80" i="2"/>
  <c r="N80" i="2" s="1"/>
  <c r="I80" i="2"/>
  <c r="K80" i="2" s="1"/>
  <c r="U112" i="1"/>
  <c r="U111" i="1"/>
  <c r="N79" i="2"/>
  <c r="K79" i="2"/>
  <c r="L78" i="2"/>
  <c r="N78" i="2" s="1"/>
  <c r="N81" i="2"/>
  <c r="I78" i="2"/>
  <c r="H78" i="2"/>
  <c r="AL60" i="2"/>
  <c r="AL59" i="2"/>
  <c r="AL58" i="2"/>
  <c r="AH112" i="1"/>
  <c r="AH113" i="1"/>
  <c r="AH114" i="1"/>
  <c r="AH115" i="1"/>
  <c r="AH116" i="1"/>
  <c r="F112" i="1"/>
  <c r="F113" i="1"/>
  <c r="EE113" i="1" s="1"/>
  <c r="F114" i="1"/>
  <c r="W114" i="1" s="1"/>
  <c r="F115" i="1"/>
  <c r="F116" i="1"/>
  <c r="L76" i="2"/>
  <c r="N76" i="2" s="1"/>
  <c r="N77" i="2"/>
  <c r="BG110" i="1"/>
  <c r="BX110" i="1" s="1"/>
  <c r="BG111" i="1"/>
  <c r="BX111" i="1" s="1"/>
  <c r="AH110" i="1"/>
  <c r="AH111" i="1"/>
  <c r="F110" i="1"/>
  <c r="W110" i="1" s="1"/>
  <c r="F111" i="1"/>
  <c r="W111" i="1" s="1"/>
  <c r="EF111" i="1" l="1"/>
  <c r="CH196" i="1"/>
  <c r="CH197" i="1"/>
  <c r="DV115" i="1"/>
  <c r="EK115" i="1" s="1"/>
  <c r="DF196" i="1"/>
  <c r="DF197" i="1"/>
  <c r="B103" i="4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AD83" i="2"/>
  <c r="AE83" i="2" s="1"/>
  <c r="EF110" i="1"/>
  <c r="EK117" i="1"/>
  <c r="B127" i="3"/>
  <c r="B129" i="3" s="1"/>
  <c r="B126" i="3"/>
  <c r="EJ117" i="1"/>
  <c r="W116" i="1"/>
  <c r="EP116" i="1" s="1"/>
  <c r="EJ116" i="1"/>
  <c r="W115" i="1"/>
  <c r="EJ115" i="1"/>
  <c r="W120" i="1"/>
  <c r="EE120" i="1"/>
  <c r="W121" i="1"/>
  <c r="EE121" i="1"/>
  <c r="W117" i="1"/>
  <c r="EE117" i="1"/>
  <c r="W123" i="1"/>
  <c r="EE123" i="1"/>
  <c r="W119" i="1"/>
  <c r="EE119" i="1"/>
  <c r="W122" i="1"/>
  <c r="EE122" i="1"/>
  <c r="W118" i="1"/>
  <c r="EE118" i="1"/>
  <c r="K82" i="2"/>
  <c r="O82" i="2" s="1"/>
  <c r="AE96" i="2"/>
  <c r="O94" i="2"/>
  <c r="O95" i="2"/>
  <c r="AE92" i="2"/>
  <c r="O92" i="2"/>
  <c r="O89" i="2"/>
  <c r="O93" i="2"/>
  <c r="AE94" i="2"/>
  <c r="EE112" i="1"/>
  <c r="AE93" i="2"/>
  <c r="O88" i="2"/>
  <c r="AE95" i="2"/>
  <c r="AE90" i="2"/>
  <c r="AE88" i="2"/>
  <c r="AE82" i="2"/>
  <c r="W112" i="1"/>
  <c r="EF112" i="1" s="1"/>
  <c r="W113" i="1"/>
  <c r="EF113" i="1" s="1"/>
  <c r="EE116" i="1"/>
  <c r="EE115" i="1"/>
  <c r="EE114" i="1"/>
  <c r="EE111" i="1"/>
  <c r="EE110" i="1"/>
  <c r="EF114" i="1"/>
  <c r="O81" i="2"/>
  <c r="K78" i="2"/>
  <c r="O78" i="2" s="1"/>
  <c r="O80" i="2"/>
  <c r="O79" i="2"/>
  <c r="K77" i="2"/>
  <c r="O77" i="2" s="1"/>
  <c r="H76" i="2"/>
  <c r="K76" i="2" s="1"/>
  <c r="O76" i="2" s="1"/>
  <c r="BV109" i="1"/>
  <c r="BV108" i="1"/>
  <c r="U109" i="1"/>
  <c r="U108" i="1"/>
  <c r="EB108" i="1"/>
  <c r="EC108" i="1"/>
  <c r="ED108" i="1"/>
  <c r="EB109" i="1"/>
  <c r="EC109" i="1"/>
  <c r="ED109" i="1"/>
  <c r="B63" i="2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I75" i="2"/>
  <c r="K75" i="2" s="1"/>
  <c r="N75" i="2"/>
  <c r="N74" i="2"/>
  <c r="I74" i="2"/>
  <c r="H74" i="2"/>
  <c r="BG109" i="1"/>
  <c r="BX109" i="1" s="1"/>
  <c r="AH106" i="1"/>
  <c r="AH107" i="1"/>
  <c r="AH108" i="1"/>
  <c r="AH109" i="1"/>
  <c r="BG108" i="1"/>
  <c r="BX108" i="1" s="1"/>
  <c r="F106" i="1"/>
  <c r="W106" i="1" s="1"/>
  <c r="F107" i="1"/>
  <c r="W107" i="1" s="1"/>
  <c r="F108" i="1"/>
  <c r="W108" i="1" s="1"/>
  <c r="F109" i="1"/>
  <c r="W109" i="1" s="1"/>
  <c r="EB104" i="1"/>
  <c r="EC104" i="1"/>
  <c r="ED104" i="1"/>
  <c r="EB105" i="1"/>
  <c r="EC105" i="1"/>
  <c r="ED105" i="1"/>
  <c r="EB106" i="1"/>
  <c r="EC106" i="1"/>
  <c r="ED106" i="1"/>
  <c r="EB107" i="1"/>
  <c r="EC107" i="1"/>
  <c r="ED107" i="1"/>
  <c r="BG106" i="1"/>
  <c r="BX106" i="1" s="1"/>
  <c r="BG107" i="1"/>
  <c r="BX107" i="1" s="1"/>
  <c r="BG104" i="1"/>
  <c r="BX104" i="1" s="1"/>
  <c r="BG105" i="1"/>
  <c r="BX105" i="1" s="1"/>
  <c r="AH104" i="1"/>
  <c r="AV104" i="1" s="1"/>
  <c r="AH105" i="1"/>
  <c r="AV105" i="1" s="1"/>
  <c r="F104" i="1"/>
  <c r="EE104" i="1" s="1"/>
  <c r="F105" i="1"/>
  <c r="W105" i="1" s="1"/>
  <c r="F92" i="1"/>
  <c r="W92" i="1" s="1"/>
  <c r="F93" i="1"/>
  <c r="W93" i="1" s="1"/>
  <c r="DV196" i="1" l="1"/>
  <c r="DV197" i="1"/>
  <c r="EK197" i="1"/>
  <c r="EK196" i="1"/>
  <c r="U197" i="1"/>
  <c r="U196" i="1"/>
  <c r="EJ197" i="1"/>
  <c r="EJ196" i="1"/>
  <c r="EF119" i="1"/>
  <c r="EP119" i="1"/>
  <c r="EF117" i="1"/>
  <c r="EP117" i="1"/>
  <c r="EF122" i="1"/>
  <c r="EP122" i="1"/>
  <c r="EF123" i="1"/>
  <c r="EP123" i="1"/>
  <c r="EF121" i="1"/>
  <c r="EP121" i="1"/>
  <c r="EF115" i="1"/>
  <c r="EP115" i="1"/>
  <c r="EF118" i="1"/>
  <c r="EP118" i="1"/>
  <c r="EF120" i="1"/>
  <c r="EP120" i="1"/>
  <c r="B134" i="3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31" i="3"/>
  <c r="B133" i="3" s="1"/>
  <c r="B79" i="2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K74" i="2"/>
  <c r="O74" i="2" s="1"/>
  <c r="EF109" i="1"/>
  <c r="EF107" i="1"/>
  <c r="EF108" i="1"/>
  <c r="EF105" i="1"/>
  <c r="EF106" i="1"/>
  <c r="EE109" i="1"/>
  <c r="EE108" i="1"/>
  <c r="O75" i="2"/>
  <c r="EE106" i="1"/>
  <c r="EE105" i="1"/>
  <c r="W104" i="1"/>
  <c r="EF104" i="1" s="1"/>
  <c r="EE107" i="1"/>
  <c r="N72" i="2"/>
  <c r="K72" i="2"/>
  <c r="N73" i="2"/>
  <c r="L71" i="2"/>
  <c r="N71" i="2" s="1"/>
  <c r="H71" i="2"/>
  <c r="K71" i="2" s="1"/>
  <c r="I70" i="2"/>
  <c r="K70" i="2" s="1"/>
  <c r="N67" i="2"/>
  <c r="N68" i="2"/>
  <c r="N69" i="2"/>
  <c r="N66" i="2"/>
  <c r="B84" i="1"/>
  <c r="B85" i="1" s="1"/>
  <c r="B86" i="1" s="1"/>
  <c r="B87" i="1" s="1"/>
  <c r="B88" i="1" s="1"/>
  <c r="B89" i="1" s="1"/>
  <c r="B90" i="1" s="1"/>
  <c r="B91" i="1" s="1"/>
  <c r="B92" i="1" s="1"/>
  <c r="B93" i="1" s="1"/>
  <c r="B97" i="1"/>
  <c r="B98" i="1" s="1"/>
  <c r="B99" i="1" s="1"/>
  <c r="B100" i="1" s="1"/>
  <c r="B101" i="1" s="1"/>
  <c r="N70" i="2"/>
  <c r="K69" i="2"/>
  <c r="K73" i="2"/>
  <c r="I68" i="2"/>
  <c r="K68" i="2" s="1"/>
  <c r="EC98" i="1"/>
  <c r="ED98" i="1"/>
  <c r="EC99" i="1"/>
  <c r="ED99" i="1"/>
  <c r="EC100" i="1"/>
  <c r="ED100" i="1"/>
  <c r="EC101" i="1"/>
  <c r="ED101" i="1"/>
  <c r="EC102" i="1"/>
  <c r="ED102" i="1"/>
  <c r="EC103" i="1"/>
  <c r="ED103" i="1"/>
  <c r="EB98" i="1"/>
  <c r="EB99" i="1"/>
  <c r="EB100" i="1"/>
  <c r="EB101" i="1"/>
  <c r="EB102" i="1"/>
  <c r="EB103" i="1"/>
  <c r="BG102" i="1"/>
  <c r="BX102" i="1" s="1"/>
  <c r="BG103" i="1"/>
  <c r="BX103" i="1" s="1"/>
  <c r="AH102" i="1"/>
  <c r="AV102" i="1" s="1"/>
  <c r="AH103" i="1"/>
  <c r="AV103" i="1" s="1"/>
  <c r="F102" i="1"/>
  <c r="W102" i="1" s="1"/>
  <c r="F103" i="1"/>
  <c r="W103" i="1" s="1"/>
  <c r="F90" i="1"/>
  <c r="W90" i="1" s="1"/>
  <c r="F91" i="1"/>
  <c r="W91" i="1" s="1"/>
  <c r="BG99" i="1"/>
  <c r="BX99" i="1" s="1"/>
  <c r="BG100" i="1"/>
  <c r="BX100" i="1" s="1"/>
  <c r="BG101" i="1"/>
  <c r="BX101" i="1" s="1"/>
  <c r="AH99" i="1"/>
  <c r="AV99" i="1" s="1"/>
  <c r="AH100" i="1"/>
  <c r="AV100" i="1" s="1"/>
  <c r="AH101" i="1"/>
  <c r="AV101" i="1" s="1"/>
  <c r="F99" i="1"/>
  <c r="W99" i="1" s="1"/>
  <c r="F100" i="1"/>
  <c r="W100" i="1" s="1"/>
  <c r="F101" i="1"/>
  <c r="W101" i="1" s="1"/>
  <c r="F87" i="1"/>
  <c r="W87" i="1" s="1"/>
  <c r="F88" i="1"/>
  <c r="W88" i="1" s="1"/>
  <c r="F89" i="1"/>
  <c r="W89" i="1" s="1"/>
  <c r="N65" i="2"/>
  <c r="N64" i="2"/>
  <c r="N63" i="2"/>
  <c r="K64" i="2"/>
  <c r="K65" i="2"/>
  <c r="K66" i="2"/>
  <c r="K67" i="2"/>
  <c r="I63" i="2"/>
  <c r="K63" i="2" s="1"/>
  <c r="BV101" i="1"/>
  <c r="AT101" i="1"/>
  <c r="AT99" i="1"/>
  <c r="U89" i="1"/>
  <c r="U88" i="1"/>
  <c r="U87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94" i="1"/>
  <c r="EF95" i="1"/>
  <c r="EF62" i="1"/>
  <c r="N61" i="2"/>
  <c r="N62" i="2"/>
  <c r="H61" i="2"/>
  <c r="AH98" i="1"/>
  <c r="BG84" i="1"/>
  <c r="BG85" i="1"/>
  <c r="AH84" i="1"/>
  <c r="AV84" i="1" s="1"/>
  <c r="AH85" i="1"/>
  <c r="AV85" i="1" s="1"/>
  <c r="U86" i="1"/>
  <c r="EF86" i="1" s="1"/>
  <c r="F84" i="1"/>
  <c r="W84" i="1" s="1"/>
  <c r="F86" i="1"/>
  <c r="W86" i="1" s="1"/>
  <c r="F97" i="1"/>
  <c r="F98" i="1"/>
  <c r="W98" i="1" s="1"/>
  <c r="BG83" i="1"/>
  <c r="BG98" i="1"/>
  <c r="M58" i="2"/>
  <c r="BG81" i="1"/>
  <c r="AH76" i="1"/>
  <c r="AV76" i="1" s="1"/>
  <c r="AH77" i="1"/>
  <c r="AH78" i="1"/>
  <c r="AV78" i="1" s="1"/>
  <c r="AH79" i="1"/>
  <c r="AH80" i="1"/>
  <c r="AV80" i="1" s="1"/>
  <c r="AH81" i="1"/>
  <c r="EP196" i="1" l="1"/>
  <c r="EP197" i="1"/>
  <c r="BV196" i="1"/>
  <c r="BV197" i="1"/>
  <c r="W97" i="1"/>
  <c r="F196" i="1"/>
  <c r="F197" i="1"/>
  <c r="AV98" i="1"/>
  <c r="AH196" i="1"/>
  <c r="AH197" i="1"/>
  <c r="ED196" i="1"/>
  <c r="ED197" i="1"/>
  <c r="BX98" i="1"/>
  <c r="EF98" i="1" s="1"/>
  <c r="BG197" i="1"/>
  <c r="BG196" i="1"/>
  <c r="AT196" i="1"/>
  <c r="AT197" i="1"/>
  <c r="EB197" i="1"/>
  <c r="EB196" i="1"/>
  <c r="EC197" i="1"/>
  <c r="EC196" i="1"/>
  <c r="O67" i="2"/>
  <c r="EF103" i="1"/>
  <c r="O66" i="2"/>
  <c r="B102" i="1"/>
  <c r="B103" i="1" s="1"/>
  <c r="B92" i="2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91" i="2"/>
  <c r="EF102" i="1"/>
  <c r="O72" i="2"/>
  <c r="EF99" i="1"/>
  <c r="EF100" i="1"/>
  <c r="EF101" i="1"/>
  <c r="O73" i="2"/>
  <c r="O71" i="2"/>
  <c r="O68" i="2"/>
  <c r="O65" i="2"/>
  <c r="O63" i="2"/>
  <c r="EE99" i="1"/>
  <c r="EE103" i="1"/>
  <c r="EE101" i="1"/>
  <c r="EE98" i="1"/>
  <c r="EE100" i="1"/>
  <c r="EE102" i="1"/>
  <c r="O70" i="2"/>
  <c r="O64" i="2"/>
  <c r="O69" i="2"/>
  <c r="AV79" i="1"/>
  <c r="AV81" i="1"/>
  <c r="AV77" i="1"/>
  <c r="AW77" i="1" s="1"/>
  <c r="N56" i="2"/>
  <c r="N57" i="2"/>
  <c r="N58" i="2"/>
  <c r="N59" i="2"/>
  <c r="N60" i="2"/>
  <c r="K57" i="2"/>
  <c r="K58" i="2"/>
  <c r="O58" i="2" s="1"/>
  <c r="K60" i="2"/>
  <c r="K61" i="2"/>
  <c r="O61" i="2" s="1"/>
  <c r="K62" i="2"/>
  <c r="O62" i="2" s="1"/>
  <c r="I59" i="2"/>
  <c r="K59" i="2" s="1"/>
  <c r="AH70" i="1"/>
  <c r="AV70" i="1" s="1"/>
  <c r="AH71" i="1"/>
  <c r="AV71" i="1" s="1"/>
  <c r="AH72" i="1"/>
  <c r="AV72" i="1" s="1"/>
  <c r="AH73" i="1"/>
  <c r="AV73" i="1" s="1"/>
  <c r="AH74" i="1"/>
  <c r="AV74" i="1" s="1"/>
  <c r="AH75" i="1"/>
  <c r="AV75" i="1" s="1"/>
  <c r="AH82" i="1"/>
  <c r="AH83" i="1"/>
  <c r="AV83" i="1" s="1"/>
  <c r="F83" i="1"/>
  <c r="W83" i="1" s="1"/>
  <c r="I54" i="2"/>
  <c r="AJ63" i="1"/>
  <c r="AJ64" i="1"/>
  <c r="AJ65" i="1"/>
  <c r="AJ67" i="1"/>
  <c r="AJ68" i="1"/>
  <c r="AJ69" i="1"/>
  <c r="AJ62" i="1"/>
  <c r="M51" i="2"/>
  <c r="M53" i="2"/>
  <c r="L53" i="2"/>
  <c r="L54" i="2"/>
  <c r="N54" i="2" s="1"/>
  <c r="H54" i="2"/>
  <c r="I53" i="2"/>
  <c r="K53" i="2" s="1"/>
  <c r="L51" i="2"/>
  <c r="M50" i="2"/>
  <c r="M49" i="2"/>
  <c r="M48" i="2"/>
  <c r="L50" i="2"/>
  <c r="L49" i="2"/>
  <c r="L48" i="2"/>
  <c r="I49" i="2"/>
  <c r="H49" i="2"/>
  <c r="N44" i="2"/>
  <c r="N45" i="2"/>
  <c r="N46" i="2"/>
  <c r="M47" i="2"/>
  <c r="L47" i="2"/>
  <c r="K56" i="2"/>
  <c r="AH67" i="1"/>
  <c r="AV67" i="1" s="1"/>
  <c r="AH68" i="1"/>
  <c r="AV68" i="1" s="1"/>
  <c r="AH69" i="1"/>
  <c r="AV69" i="1" s="1"/>
  <c r="I51" i="2"/>
  <c r="H51" i="2"/>
  <c r="I50" i="2"/>
  <c r="H50" i="2"/>
  <c r="I48" i="2"/>
  <c r="H48" i="2"/>
  <c r="I47" i="2"/>
  <c r="H47" i="2"/>
  <c r="AT62" i="1"/>
  <c r="O57" i="2" l="1"/>
  <c r="AV197" i="1"/>
  <c r="AV196" i="1"/>
  <c r="EF197" i="1"/>
  <c r="EF196" i="1"/>
  <c r="EE197" i="1"/>
  <c r="EE196" i="1"/>
  <c r="BX197" i="1"/>
  <c r="BX196" i="1"/>
  <c r="W197" i="1"/>
  <c r="W196" i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O56" i="2"/>
  <c r="O60" i="2"/>
  <c r="O59" i="2"/>
  <c r="AV82" i="1"/>
  <c r="K49" i="2"/>
  <c r="K54" i="2"/>
  <c r="O54" i="2" s="1"/>
  <c r="N47" i="2"/>
  <c r="N51" i="2"/>
  <c r="AW73" i="1"/>
  <c r="AW75" i="1"/>
  <c r="N53" i="2"/>
  <c r="O53" i="2" s="1"/>
  <c r="N49" i="2"/>
  <c r="N50" i="2"/>
  <c r="K48" i="2"/>
  <c r="K51" i="2"/>
  <c r="K50" i="2"/>
  <c r="T56" i="1"/>
  <c r="BV61" i="1"/>
  <c r="AT61" i="1"/>
  <c r="U61" i="1"/>
  <c r="T61" i="1" s="1"/>
  <c r="K46" i="2"/>
  <c r="K47" i="2"/>
  <c r="BG55" i="1"/>
  <c r="BG56" i="1"/>
  <c r="BG57" i="1"/>
  <c r="BG58" i="1"/>
  <c r="BG59" i="1"/>
  <c r="BG60" i="1"/>
  <c r="BG61" i="1"/>
  <c r="AH55" i="1"/>
  <c r="AH56" i="1"/>
  <c r="AH57" i="1"/>
  <c r="AH58" i="1"/>
  <c r="AH59" i="1"/>
  <c r="AH60" i="1"/>
  <c r="AH61" i="1"/>
  <c r="AH62" i="1"/>
  <c r="AH63" i="1"/>
  <c r="AV63" i="1" s="1"/>
  <c r="AH64" i="1"/>
  <c r="AH65" i="1"/>
  <c r="F55" i="1"/>
  <c r="F56" i="1"/>
  <c r="F57" i="1"/>
  <c r="F58" i="1"/>
  <c r="F59" i="1"/>
  <c r="F60" i="1"/>
  <c r="F61" i="1"/>
  <c r="K45" i="2"/>
  <c r="U60" i="1"/>
  <c r="T60" i="1" s="1"/>
  <c r="BV60" i="1"/>
  <c r="AT60" i="1"/>
  <c r="EB60" i="1"/>
  <c r="EC60" i="1"/>
  <c r="ED60" i="1"/>
  <c r="K44" i="2"/>
  <c r="EB59" i="1"/>
  <c r="EC59" i="1"/>
  <c r="ED59" i="1"/>
  <c r="BV59" i="1"/>
  <c r="AT59" i="1"/>
  <c r="U59" i="1"/>
  <c r="T59" i="1" s="1"/>
  <c r="EB11" i="1"/>
  <c r="EC11" i="1"/>
  <c r="ED11" i="1"/>
  <c r="EB12" i="1"/>
  <c r="EC12" i="1"/>
  <c r="ED12" i="1"/>
  <c r="EB13" i="1"/>
  <c r="EC13" i="1"/>
  <c r="ED13" i="1"/>
  <c r="EB14" i="1"/>
  <c r="EC14" i="1"/>
  <c r="ED14" i="1"/>
  <c r="EB15" i="1"/>
  <c r="EC15" i="1"/>
  <c r="ED15" i="1"/>
  <c r="EB16" i="1"/>
  <c r="EC16" i="1"/>
  <c r="ED16" i="1"/>
  <c r="EB17" i="1"/>
  <c r="EC17" i="1"/>
  <c r="ED17" i="1"/>
  <c r="EB18" i="1"/>
  <c r="EC18" i="1"/>
  <c r="ED18" i="1"/>
  <c r="EB19" i="1"/>
  <c r="EC19" i="1"/>
  <c r="ED19" i="1"/>
  <c r="EB20" i="1"/>
  <c r="EC20" i="1"/>
  <c r="ED20" i="1"/>
  <c r="EB21" i="1"/>
  <c r="EC21" i="1"/>
  <c r="ED21" i="1"/>
  <c r="EB23" i="1"/>
  <c r="EC23" i="1"/>
  <c r="ED23" i="1"/>
  <c r="EB24" i="1"/>
  <c r="EC24" i="1"/>
  <c r="ED24" i="1"/>
  <c r="EB28" i="1"/>
  <c r="EC28" i="1"/>
  <c r="ED28" i="1"/>
  <c r="EB29" i="1"/>
  <c r="EC29" i="1"/>
  <c r="ED29" i="1"/>
  <c r="EB30" i="1"/>
  <c r="EC30" i="1"/>
  <c r="ED30" i="1"/>
  <c r="EB31" i="1"/>
  <c r="EC31" i="1"/>
  <c r="ED31" i="1"/>
  <c r="EB32" i="1"/>
  <c r="EC32" i="1"/>
  <c r="ED32" i="1"/>
  <c r="EB33" i="1"/>
  <c r="EC33" i="1"/>
  <c r="ED33" i="1"/>
  <c r="EB34" i="1"/>
  <c r="EC34" i="1"/>
  <c r="ED34" i="1"/>
  <c r="EB35" i="1"/>
  <c r="EC35" i="1"/>
  <c r="ED35" i="1"/>
  <c r="EB36" i="1"/>
  <c r="EC36" i="1"/>
  <c r="ED36" i="1"/>
  <c r="EB37" i="1"/>
  <c r="EC37" i="1"/>
  <c r="ED37" i="1"/>
  <c r="EB38" i="1"/>
  <c r="EC38" i="1"/>
  <c r="ED38" i="1"/>
  <c r="EB39" i="1"/>
  <c r="EC39" i="1"/>
  <c r="ED39" i="1"/>
  <c r="EB40" i="1"/>
  <c r="EC40" i="1"/>
  <c r="ED40" i="1"/>
  <c r="EB41" i="1"/>
  <c r="EC41" i="1"/>
  <c r="ED41" i="1"/>
  <c r="EB42" i="1"/>
  <c r="EC42" i="1"/>
  <c r="ED42" i="1"/>
  <c r="EB43" i="1"/>
  <c r="EC43" i="1"/>
  <c r="ED43" i="1"/>
  <c r="EB44" i="1"/>
  <c r="EC44" i="1"/>
  <c r="ED44" i="1"/>
  <c r="EB45" i="1"/>
  <c r="EC45" i="1"/>
  <c r="ED45" i="1"/>
  <c r="EB46" i="1"/>
  <c r="EC46" i="1"/>
  <c r="ED46" i="1"/>
  <c r="EB47" i="1"/>
  <c r="EC47" i="1"/>
  <c r="ED47" i="1"/>
  <c r="EB48" i="1"/>
  <c r="EC48" i="1"/>
  <c r="ED48" i="1"/>
  <c r="EB49" i="1"/>
  <c r="EC49" i="1"/>
  <c r="EB51" i="1"/>
  <c r="EC51" i="1"/>
  <c r="EB55" i="1"/>
  <c r="EC55" i="1"/>
  <c r="ED55" i="1"/>
  <c r="EB56" i="1"/>
  <c r="EC56" i="1"/>
  <c r="ED56" i="1"/>
  <c r="EB57" i="1"/>
  <c r="EC57" i="1"/>
  <c r="ED57" i="1"/>
  <c r="EB58" i="1"/>
  <c r="EC58" i="1"/>
  <c r="ED58" i="1"/>
  <c r="EC10" i="1"/>
  <c r="ED10" i="1"/>
  <c r="EB10" i="1"/>
  <c r="N43" i="2"/>
  <c r="K43" i="2"/>
  <c r="BV58" i="1"/>
  <c r="AT58" i="1"/>
  <c r="U58" i="1"/>
  <c r="T58" i="1" s="1"/>
  <c r="N42" i="2"/>
  <c r="K42" i="2"/>
  <c r="AT57" i="1"/>
  <c r="U57" i="1"/>
  <c r="T57" i="1" s="1"/>
  <c r="N41" i="2"/>
  <c r="BV56" i="1"/>
  <c r="K41" i="2"/>
  <c r="BV55" i="1"/>
  <c r="AT55" i="1"/>
  <c r="U55" i="1"/>
  <c r="T55" i="1" s="1"/>
  <c r="N40" i="2"/>
  <c r="K40" i="2"/>
  <c r="K17" i="2"/>
  <c r="BF54" i="1"/>
  <c r="BF53" i="1"/>
  <c r="BF52" i="1"/>
  <c r="BE54" i="1"/>
  <c r="BE53" i="1"/>
  <c r="BE52" i="1"/>
  <c r="BD54" i="1"/>
  <c r="BD53" i="1"/>
  <c r="BD52" i="1"/>
  <c r="AG54" i="1"/>
  <c r="AG53" i="1"/>
  <c r="AG52" i="1"/>
  <c r="AF54" i="1"/>
  <c r="AF53" i="1"/>
  <c r="AF52" i="1"/>
  <c r="AE54" i="1"/>
  <c r="AE53" i="1"/>
  <c r="AE52" i="1"/>
  <c r="E54" i="1"/>
  <c r="E53" i="1"/>
  <c r="E52" i="1"/>
  <c r="D54" i="1"/>
  <c r="D53" i="1"/>
  <c r="D52" i="1"/>
  <c r="C54" i="1"/>
  <c r="C53" i="1"/>
  <c r="C52" i="1"/>
  <c r="N39" i="2"/>
  <c r="K39" i="2"/>
  <c r="F47" i="1"/>
  <c r="F48" i="1"/>
  <c r="F49" i="1"/>
  <c r="F51" i="1"/>
  <c r="AH47" i="1"/>
  <c r="AH48" i="1"/>
  <c r="AH49" i="1"/>
  <c r="AH51" i="1"/>
  <c r="BG51" i="1"/>
  <c r="BG49" i="1"/>
  <c r="BG48" i="1"/>
  <c r="BG47" i="1"/>
  <c r="K38" i="2"/>
  <c r="K37" i="2"/>
  <c r="BG44" i="1"/>
  <c r="BG45" i="1"/>
  <c r="BG46" i="1"/>
  <c r="AH44" i="1"/>
  <c r="AH45" i="1"/>
  <c r="AH46" i="1"/>
  <c r="F45" i="1"/>
  <c r="F46" i="1"/>
  <c r="F43" i="1"/>
  <c r="F44" i="1"/>
  <c r="N32" i="2"/>
  <c r="BG33" i="1"/>
  <c r="BG34" i="1"/>
  <c r="BG35" i="1"/>
  <c r="N23" i="2"/>
  <c r="N24" i="2"/>
  <c r="N25" i="2"/>
  <c r="N27" i="2"/>
  <c r="N28" i="2"/>
  <c r="N29" i="2"/>
  <c r="N30" i="2"/>
  <c r="N31" i="2"/>
  <c r="N33" i="2"/>
  <c r="N34" i="2"/>
  <c r="N35" i="2"/>
  <c r="N36" i="2"/>
  <c r="N37" i="2"/>
  <c r="N38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0" i="2"/>
  <c r="N21" i="2"/>
  <c r="N22" i="2"/>
  <c r="BG37" i="1"/>
  <c r="BG38" i="1"/>
  <c r="BG39" i="1"/>
  <c r="BG40" i="1"/>
  <c r="BG41" i="1"/>
  <c r="BG42" i="1"/>
  <c r="BG43" i="1"/>
  <c r="AH37" i="1"/>
  <c r="AH38" i="1"/>
  <c r="AH39" i="1"/>
  <c r="AH40" i="1"/>
  <c r="AH41" i="1"/>
  <c r="AH42" i="1"/>
  <c r="AH43" i="1"/>
  <c r="F37" i="1"/>
  <c r="F38" i="1"/>
  <c r="F39" i="1"/>
  <c r="F40" i="1"/>
  <c r="F41" i="1"/>
  <c r="F42" i="1"/>
  <c r="AH32" i="1"/>
  <c r="BG36" i="1"/>
  <c r="BG32" i="1"/>
  <c r="AH35" i="1"/>
  <c r="AH36" i="1"/>
  <c r="F35" i="1"/>
  <c r="F36" i="1"/>
  <c r="K23" i="2"/>
  <c r="B147" i="1" l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O47" i="2"/>
  <c r="O49" i="2"/>
  <c r="O50" i="2"/>
  <c r="O51" i="2"/>
  <c r="AV65" i="1"/>
  <c r="AV64" i="1"/>
  <c r="AW64" i="1" s="1"/>
  <c r="AW71" i="1"/>
  <c r="AW70" i="1"/>
  <c r="AW67" i="1"/>
  <c r="AW68" i="1"/>
  <c r="AW63" i="1"/>
  <c r="EE57" i="1"/>
  <c r="EE58" i="1"/>
  <c r="EE60" i="1"/>
  <c r="EE56" i="1"/>
  <c r="EE35" i="1"/>
  <c r="EE55" i="1"/>
  <c r="F54" i="1"/>
  <c r="EE37" i="1"/>
  <c r="EC53" i="1"/>
  <c r="F53" i="1"/>
  <c r="EE59" i="1"/>
  <c r="AH54" i="1"/>
  <c r="BG53" i="1"/>
  <c r="EE49" i="1"/>
  <c r="EE45" i="1"/>
  <c r="EE51" i="1"/>
  <c r="EE61" i="1"/>
  <c r="EE36" i="1"/>
  <c r="EE42" i="1"/>
  <c r="EE41" i="1"/>
  <c r="EE39" i="1"/>
  <c r="EE38" i="1"/>
  <c r="EE46" i="1"/>
  <c r="EE44" i="1"/>
  <c r="EE47" i="1"/>
  <c r="EC52" i="1"/>
  <c r="ED52" i="1"/>
  <c r="ED53" i="1"/>
  <c r="EB52" i="1"/>
  <c r="ED54" i="1"/>
  <c r="EE40" i="1"/>
  <c r="EE43" i="1"/>
  <c r="EE48" i="1"/>
  <c r="EC54" i="1"/>
  <c r="BG54" i="1"/>
  <c r="EB54" i="1"/>
  <c r="EB53" i="1"/>
  <c r="AH53" i="1"/>
  <c r="BG52" i="1"/>
  <c r="AH52" i="1"/>
  <c r="F52" i="1"/>
  <c r="H28" i="2"/>
  <c r="AH34" i="1"/>
  <c r="F33" i="1"/>
  <c r="EE33" i="1" s="1"/>
  <c r="F34" i="1"/>
  <c r="EE34" i="1" s="1"/>
  <c r="AW65" i="1" l="1"/>
  <c r="EE53" i="1"/>
  <c r="EE54" i="1"/>
  <c r="EE52" i="1"/>
  <c r="K21" i="2"/>
  <c r="K20" i="2"/>
  <c r="K22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23" i="2"/>
  <c r="V22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23" i="2"/>
  <c r="S22" i="2"/>
  <c r="AH28" i="1"/>
  <c r="AH29" i="1"/>
  <c r="AH30" i="1"/>
  <c r="AH31" i="1"/>
  <c r="AH33" i="1"/>
  <c r="AH27" i="1"/>
  <c r="BG31" i="1"/>
  <c r="BG30" i="1"/>
  <c r="BG29" i="1"/>
  <c r="BG28" i="1"/>
  <c r="BG26" i="1"/>
  <c r="BG25" i="1"/>
  <c r="BG24" i="1"/>
  <c r="BG23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7" i="1"/>
  <c r="F27" i="1"/>
  <c r="F28" i="1"/>
  <c r="F29" i="1"/>
  <c r="F30" i="1"/>
  <c r="F31" i="1"/>
  <c r="F32" i="1"/>
  <c r="EE32" i="1" s="1"/>
  <c r="V17" i="2"/>
  <c r="V18" i="2"/>
  <c r="V19" i="2"/>
  <c r="U16" i="2"/>
  <c r="T16" i="2"/>
  <c r="I16" i="2"/>
  <c r="H16" i="2"/>
  <c r="Q5" i="2"/>
  <c r="P5" i="2"/>
  <c r="Q16" i="2"/>
  <c r="P16" i="2"/>
  <c r="K18" i="2"/>
  <c r="K19" i="2"/>
  <c r="F22" i="1"/>
  <c r="F23" i="1"/>
  <c r="F24" i="1"/>
  <c r="F20" i="1"/>
  <c r="F21" i="1"/>
  <c r="K12" i="2"/>
  <c r="K13" i="2"/>
  <c r="K14" i="2"/>
  <c r="K15" i="2"/>
  <c r="H11" i="2"/>
  <c r="K11" i="2" s="1"/>
  <c r="F18" i="1"/>
  <c r="F19" i="1"/>
  <c r="F16" i="1"/>
  <c r="F17" i="1"/>
  <c r="F15" i="1"/>
  <c r="I10" i="2"/>
  <c r="I9" i="2"/>
  <c r="I8" i="2"/>
  <c r="I7" i="2"/>
  <c r="I6" i="2"/>
  <c r="H10" i="2"/>
  <c r="H9" i="2"/>
  <c r="H8" i="2"/>
  <c r="H7" i="2"/>
  <c r="H6" i="2"/>
  <c r="T15" i="1"/>
  <c r="F9" i="1"/>
  <c r="F10" i="1"/>
  <c r="F11" i="1"/>
  <c r="F12" i="1"/>
  <c r="F13" i="1"/>
  <c r="F14" i="1"/>
  <c r="F8" i="1"/>
  <c r="F6" i="1"/>
  <c r="K4" i="2"/>
  <c r="F4" i="2"/>
  <c r="EE11" i="1" l="1"/>
  <c r="EE29" i="1"/>
  <c r="EE19" i="1"/>
  <c r="EE24" i="1"/>
  <c r="EE12" i="1"/>
  <c r="EE16" i="1"/>
  <c r="EE20" i="1"/>
  <c r="EE30" i="1"/>
  <c r="EE15" i="1"/>
  <c r="EE13" i="1"/>
  <c r="EE17" i="1"/>
  <c r="EE21" i="1"/>
  <c r="EE31" i="1"/>
  <c r="EE10" i="1"/>
  <c r="EE14" i="1"/>
  <c r="EE18" i="1"/>
  <c r="EE23" i="1"/>
  <c r="EE28" i="1"/>
  <c r="V16" i="2"/>
  <c r="S5" i="2"/>
  <c r="K16" i="2"/>
  <c r="S16" i="2"/>
  <c r="K8" i="2"/>
  <c r="K9" i="2"/>
  <c r="K7" i="2"/>
  <c r="K6" i="2"/>
  <c r="K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 Luong</author>
    <author>tc={8FD21960-6625-4604-A2F6-DBEA3C829A85}</author>
    <author>tc={050D8648-9959-4DF7-B2D8-2F52BB5E7855}</author>
    <author>tc={BF17CF47-EEA1-4A1E-BA09-F95B5E5BBCF1}</author>
    <author>tc={1495A119-FEC5-482C-8978-C2DB4C9F0092}</author>
    <author>tc={A49A35E0-8ABD-4C23-8BD1-4A6564EDAEA1}</author>
    <author>tc={44C24610-4AE7-4BBA-AB17-DAC1C330DF51}</author>
    <author>tc={6DDC4DF3-3AF1-457F-B806-841DDED4F2D4}</author>
  </authors>
  <commentList>
    <comment ref="O3" authorId="0" shapeId="0" xr:uid="{8E673BFF-67B1-4966-B976-737C57CF05B6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https://www.hamzasreef.com/Contents/Calculators/NitrogenIonConversion.php</t>
        </r>
      </text>
    </comment>
    <comment ref="AB3" authorId="0" shapeId="0" xr:uid="{B1D28780-5413-48BC-B664-13248552E1E6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https://support.hach.com/app/answers/answer_view/a_id/1007934/~/what-is-the-factor-to-convert-from-po4-to-po4-p%3F-</t>
        </r>
      </text>
    </comment>
    <comment ref="A47" authorId="0" shapeId="0" xr:uid="{AC9DD7E1-522C-48EC-87D3-8E33AC8E7F56}">
      <text>
        <r>
          <rPr>
            <sz val="11"/>
            <color theme="1"/>
            <rFont val="Calibri"/>
            <family val="2"/>
            <scheme val="minor"/>
          </rPr>
          <t>Vu Luong:
Pipes temporarily frozen</t>
        </r>
      </text>
    </comment>
    <comment ref="U47" authorId="1" shapeId="0" xr:uid="{8FD21960-6625-4604-A2F6-DBEA3C829A85}">
      <text>
        <t>[Threaded comment]
Your version of Excel allows you to read this threaded comment; however, any edits to it will get removed if the file is opened in a newer version of Excel. Learn more: https://go.microsoft.com/fwlink/?linkid=870924
Comment:
    Mari made from unfiltrated samples</t>
      </text>
    </comment>
    <comment ref="U50" authorId="2" shapeId="0" xr:uid="{050D8648-9959-4DF7-B2D8-2F52BB5E7855}">
      <text>
        <t>[Threaded comment]
Your version of Excel allows you to read this threaded comment; however, any edits to it will get removed if the file is opened in a newer version of Excel. Learn more: https://go.microsoft.com/fwlink/?linkid=870924
Comment:
    Mari made from unfiltrated samples</t>
      </text>
    </comment>
    <comment ref="A52" authorId="3" shapeId="0" xr:uid="{BF17CF47-EEA1-4A1E-BA09-F95B5E5BBC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15.2. manual dilution corrected samples 25.1.-8.2.
Reply:
    Vu will correct the TOC/TN value according to standard</t>
      </text>
    </comment>
    <comment ref="A55" authorId="4" shapeId="0" xr:uid="{1495A119-FEC5-482C-8978-C2DB4C9F0092}">
      <text>
        <t>[Threaded comment]
Your version of Excel allows you to read this threaded comment; however, any edits to it will get removed if the file is opened in a newer version of Excel. Learn more: https://go.microsoft.com/fwlink/?linkid=870924
Comment:
    Jussi corrected according standards
Reply:
    afterward</t>
      </text>
    </comment>
    <comment ref="U55" authorId="5" shapeId="0" xr:uid="{A49A35E0-8ABD-4C23-8BD1-4A6564EDAEA1}">
      <text>
        <t>[Threaded comment]
Your version of Excel allows you to read this threaded comment; however, any edits to it will get removed if the file is opened in a newer version of Excel. Learn more: https://go.microsoft.com/fwlink/?linkid=870924
Comment:
    Made from sentrifuged and filtrated samples</t>
      </text>
    </comment>
    <comment ref="A57" authorId="6" shapeId="0" xr:uid="{44C24610-4AE7-4BBA-AB17-DAC1C330DF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Submersible pump problems </t>
      </text>
    </comment>
    <comment ref="A58" authorId="7" shapeId="0" xr:uid="{6DDC4DF3-3AF1-457F-B806-841DDED4F2D4}">
      <text>
        <t>[Threaded comment]
Your version of Excel allows you to read this threaded comment; however, any edits to it will get removed if the file is opened in a newer version of Excel. Learn more: https://go.microsoft.com/fwlink/?linkid=870924
Comment:
    Submersible pump problems</t>
      </text>
    </comment>
    <comment ref="A62" authorId="0" shapeId="0" xr:uid="{D269EF3F-3A50-4EFE-8125-FAF5D52824C0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added 150 g glucose</t>
        </r>
      </text>
    </comment>
    <comment ref="AX62" authorId="0" shapeId="0" xr:uid="{6FC225D8-BACA-41C1-B97A-EC60F0540E50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filted 0.45 um</t>
        </r>
      </text>
    </comment>
    <comment ref="BC63" authorId="0" shapeId="0" xr:uid="{79A17C40-62B4-4EC8-ACDC-209D22F66405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added 100 g CaCO3
before pH: 4.73</t>
        </r>
      </text>
    </comment>
    <comment ref="BC64" authorId="0" shapeId="0" xr:uid="{4EE7060C-9B4B-4EBB-A55E-952FFAEEE890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added ? CaCO3
beofre pH 6.38
</t>
        </r>
      </text>
    </comment>
    <comment ref="A66" authorId="0" shapeId="0" xr:uid="{33AE92CD-0C81-4BF7-BC33-93BB6D8EEF94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added 35g Glucose in the afternoon, no sampling</t>
        </r>
      </text>
    </comment>
    <comment ref="AV66" authorId="0" shapeId="0" xr:uid="{9FC53C37-E4FD-4A25-9322-FC67D6E1483B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A69" authorId="0" shapeId="0" xr:uid="{84BA5C66-E4D5-41B9-B311-BEA6BF61EEC1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added 100g glucose, sampling</t>
        </r>
      </text>
    </comment>
    <comment ref="AT72" authorId="0" shapeId="0" xr:uid="{6DD6A649-6CE5-4D92-A780-04FB5F9FE21B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&gt;1500 mg/L</t>
        </r>
      </text>
    </comment>
    <comment ref="AT80" authorId="0" shapeId="0" xr:uid="{E2672D7F-5364-4DE7-88F1-65498C87FE34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&gt;1500 mg/L</t>
        </r>
      </text>
    </comment>
    <comment ref="BV84" authorId="0" shapeId="0" xr:uid="{83EBD371-37F7-4364-91DE-FE833A077FAB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outlier 110 mg/L</t>
        </r>
      </text>
    </comment>
    <comment ref="U89" authorId="0" shapeId="0" xr:uid="{9EC46A3D-C271-4CA1-9E90-59B05A1F59D6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total COD: 763</t>
        </r>
      </text>
    </comment>
    <comment ref="BO96" authorId="0" shapeId="0" xr:uid="{85BA7F75-75CC-4E42-BD9B-783A7EBFF22F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should be checked again</t>
        </r>
      </text>
    </comment>
    <comment ref="A97" authorId="0" shapeId="0" xr:uid="{B7A5B2D8-5733-41BF-BF37-9B64C9E042E2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Set up feed tank (FT)
Mixed WW with glucose</t>
        </r>
      </text>
    </comment>
    <comment ref="AD98" authorId="0" shapeId="0" xr:uid="{0BA39A6C-2F0E-453B-82A9-863F1755ED54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pH in the afternoon 5.6</t>
        </r>
      </text>
    </comment>
    <comment ref="U99" authorId="0" shapeId="0" xr:uid="{9D4EC4A7-10A6-42D4-88C3-5BE47E95E75A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outlier 710 mg/L</t>
        </r>
      </text>
    </comment>
    <comment ref="BV99" authorId="0" shapeId="0" xr:uid="{CDB2A15F-56EA-4516-9A4F-064F09E86E79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outlier 245 mg/L</t>
        </r>
      </text>
    </comment>
    <comment ref="U100" authorId="0" shapeId="0" xr:uid="{0D923125-D204-45B9-884F-49500388E2B8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outlier 750mg/L</t>
        </r>
      </text>
    </comment>
    <comment ref="U101" authorId="0" shapeId="0" xr:uid="{C7673134-9497-46E2-8EB1-85071D203D8D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total COD: 1040</t>
        </r>
      </text>
    </comment>
    <comment ref="A105" authorId="0" shapeId="0" xr:uid="{F52E6F02-7173-4273-9BFF-A6B03F87FAEF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collected last FT sample </t>
        </r>
      </text>
    </comment>
    <comment ref="A115" authorId="0" shapeId="0" xr:uid="{DB156EBA-9929-4526-9590-B80E75871FF6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started MBR</t>
        </r>
      </text>
    </comment>
    <comment ref="BX116" authorId="0" shapeId="0" xr:uid="{42635185-8E56-4167-AE59-C526198D23E7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outliner</t>
        </r>
      </text>
    </comment>
    <comment ref="A127" authorId="0" shapeId="0" xr:uid="{45258EEA-795E-4D67-9A5B-838C489F2A70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solenoid V-21 was blocked =&gt; UASB's efluent filled MBR tank =&gt; MBR's sludge went out of the tank</t>
        </r>
      </text>
    </comment>
    <comment ref="A135" authorId="0" shapeId="0" xr:uid="{634E3917-70F5-4D0C-8772-2E7097E5C863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sludges emptied 1/3</t>
        </r>
      </text>
    </comment>
    <comment ref="U141" authorId="0" shapeId="0" xr:uid="{44CDCE3F-DD9C-4D86-BAB3-5B8E0C851E66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w/o filter 539 mg/L COD</t>
        </r>
      </text>
    </comment>
    <comment ref="BV141" authorId="0" shapeId="0" xr:uid="{1551B766-DE10-4991-9809-7A9BFF3E7C81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w/o filter 357 mg/L</t>
        </r>
      </text>
    </comment>
    <comment ref="A151" authorId="0" shapeId="0" xr:uid="{47D18D1E-9AF8-4150-91B8-C4972254F6E2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TOC/TN analyse is fixed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 Luong</author>
  </authors>
  <commentList>
    <comment ref="A30" authorId="0" shapeId="0" xr:uid="{5A1BC020-EA94-4A7D-B740-5B339E7251FA}">
      <text>
        <r>
          <rPr>
            <sz val="11"/>
            <color theme="1"/>
            <rFont val="Calibri"/>
            <family val="2"/>
            <scheme val="minor"/>
          </rPr>
          <t>Vu Luong:
Whatmann 41 afterward</t>
        </r>
      </text>
    </comment>
    <comment ref="K47" authorId="0" shapeId="0" xr:uid="{BD2E92FF-32EA-4854-AC66-39B4532C8737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300 rpm</t>
        </r>
      </text>
    </comment>
    <comment ref="N48" authorId="0" shapeId="0" xr:uid="{3EA68ABF-AC80-48D3-9936-D36BAEC4A697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negative</t>
        </r>
      </text>
    </comment>
    <comment ref="K55" authorId="0" shapeId="0" xr:uid="{D4BC412A-76C0-49B3-AA49-CE780B09241B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400 rpm</t>
        </r>
      </text>
    </comment>
    <comment ref="K59" authorId="0" shapeId="0" xr:uid="{B0B1BE11-C7CF-4CB3-BF3B-4F4F739BF637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reduced circulation 400 -&gt; 200 rpm</t>
        </r>
      </text>
    </comment>
    <comment ref="A63" authorId="0" shapeId="0" xr:uid="{FAF7319F-5529-42A0-AD1F-3FA35980F394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Set up feed tank (FT)
Mixed WW with glucose</t>
        </r>
      </text>
    </comment>
    <comment ref="K66" authorId="0" shapeId="0" xr:uid="{8963DDF2-DFAD-43C5-BC24-DA94AB316DBC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800 rpm when collect sample</t>
        </r>
      </text>
    </comment>
    <comment ref="K68" authorId="0" shapeId="0" xr:uid="{56CFF2E7-302A-4E48-AD35-0A332EA648C5}">
      <text>
        <r>
          <rPr>
            <b/>
            <sz val="9"/>
            <color indexed="81"/>
            <rFont val="Tahoma"/>
            <family val="2"/>
          </rPr>
          <t>Vu Luong
P500 = 400 rpm</t>
        </r>
      </text>
    </comment>
    <comment ref="K70" authorId="0" shapeId="0" xr:uid="{3939479D-76EE-423D-9EAF-167868FB513B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no efluent to MBR due to level switch blocked -&gt; no UASB circulation so sludge is not unque</t>
        </r>
      </text>
    </comment>
    <comment ref="A79" authorId="0" shapeId="0" xr:uid="{4338DC51-4051-42B4-8082-9FA362595E23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after removed sludge</t>
        </r>
      </text>
    </comment>
    <comment ref="A82" authorId="0" shapeId="0" xr:uid="{F91FBC7A-AA68-4E89-B897-ABB6F2ED81E7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started MBR</t>
        </r>
      </text>
    </comment>
    <comment ref="AA93" authorId="0" shapeId="0" xr:uid="{D81448EA-3877-4CDA-865B-2905782FAF4E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solenoid V-21 could be blocked sometime so UASB'eluent went to MBR and diluted the MBR sludge</t>
        </r>
      </text>
    </comment>
    <comment ref="A94" authorId="0" shapeId="0" xr:uid="{78B8179E-2448-4CD3-80D7-46618D801D18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solenoid V-21 was blocked =&gt; UASB's efluent filled MBR tank =&gt; MBR's sludge went out of the tank</t>
        </r>
      </text>
    </comment>
    <comment ref="A102" authorId="0" shapeId="0" xr:uid="{B8845E19-71F3-47B8-93C1-C125CFD730C4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sludges emptied 1/3</t>
        </r>
      </text>
    </comment>
    <comment ref="A114" authorId="0" shapeId="0" xr:uid="{84AE6384-3F47-447F-A4E4-D36950700C5E}">
      <text>
        <r>
          <rPr>
            <b/>
            <sz val="9"/>
            <color indexed="81"/>
            <rFont val="Tahoma"/>
            <charset val="1"/>
          </rPr>
          <t>Vu Luong:</t>
        </r>
        <r>
          <rPr>
            <sz val="9"/>
            <color indexed="81"/>
            <rFont val="Tahoma"/>
            <charset val="1"/>
          </rPr>
          <t xml:space="preserve">
add 30L of new biogas sludge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 Luong</author>
  </authors>
  <commentList>
    <comment ref="A39" authorId="0" shapeId="0" xr:uid="{8C5E13B1-D7D9-49BF-BB9E-E08AD5C8738B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Set up feed tank (FT)
Mixed WW with glucose</t>
        </r>
      </text>
    </comment>
    <comment ref="A53" authorId="0" shapeId="0" xr:uid="{F023892E-C089-422C-A2DF-C29D048E0031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collected last FT sample </t>
        </r>
      </text>
    </comment>
    <comment ref="A54" authorId="0" shapeId="0" xr:uid="{5A810FC6-4CE2-4F8B-B39F-CE618A5FC051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add raw WW directly</t>
        </r>
      </text>
    </comment>
    <comment ref="A80" authorId="0" shapeId="0" xr:uid="{AF2C3ED1-4CEB-4C9B-BC6D-1CE6391C5D46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started MBR</t>
        </r>
      </text>
    </comment>
    <comment ref="A106" authorId="0" shapeId="0" xr:uid="{8287F9E3-E1BA-4F76-BE87-A6C1996030CE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solenoid V-21 was blocked =&gt; UASB's efluent filled MBR tank =&gt; MBR's sludge went out of the tank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 Luong</author>
  </authors>
  <commentList>
    <comment ref="A4" authorId="0" shapeId="0" xr:uid="{B74D31A1-5C51-4F97-BFE5-22B8EAE7FA73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Set up feed tank (FT)
Mixed WW with glucose</t>
        </r>
      </text>
    </comment>
    <comment ref="A18" authorId="0" shapeId="0" xr:uid="{C6ED902B-EF35-4992-A476-8C6359EBAC7C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collected last FT sample </t>
        </r>
      </text>
    </comment>
    <comment ref="A19" authorId="0" shapeId="0" xr:uid="{29BD78D9-AA97-4A30-A2D7-C61590B5EF80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add raw WW directly</t>
        </r>
      </text>
    </comment>
    <comment ref="A45" authorId="0" shapeId="0" xr:uid="{52D73D3A-C0D5-4D5F-A5AA-9F3FECDFAE81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started MBR</t>
        </r>
      </text>
    </comment>
    <comment ref="A71" authorId="0" shapeId="0" xr:uid="{D3B13209-4280-471C-B46F-AE87625E7572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solenoid V-21 was blocked =&gt; UASB's efluent filled MBR tank =&gt; MBR's sludge went out of the tank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 Luong</author>
    <author>tc={E8584A08-3306-48BF-A759-A0F42A95B49B}</author>
    <author>tc={BDDC59DD-9DE3-49EF-96A6-62A8415B679F}</author>
    <author>tc={47154A4E-12A8-44F2-A6DD-E6020140C302}</author>
    <author>tc={FDFF6C74-33EC-4666-A064-E1137A9E130A}</author>
    <author>tc={68935A67-0186-480A-A829-48ECCD4CE9C2}</author>
    <author>tc={29A061C3-E10B-418B-A0EB-864D2D9018BD}</author>
    <author>tc={7C605C5B-8846-4A4A-ABED-0567ABFED2D9}</author>
  </authors>
  <commentList>
    <comment ref="S3" authorId="0" shapeId="0" xr:uid="{74101009-4464-4E1E-982F-D34EACA37270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https://www.hamzasreef.com/Contents/Calculators/NitrogenIonConversion.php</t>
        </r>
      </text>
    </comment>
    <comment ref="AF3" authorId="0" shapeId="0" xr:uid="{EDE6877A-A406-44ED-A100-AC16AB9FEE5D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https://support.hach.com/app/answers/answer_view/a_id/1007934/~/what-is-the-factor-to-convert-from-po4-to-po4-p%3F-</t>
        </r>
      </text>
    </comment>
    <comment ref="A47" authorId="0" shapeId="0" xr:uid="{5EF04BE1-348A-4029-B63B-411C252DE052}">
      <text>
        <r>
          <rPr>
            <sz val="11"/>
            <color theme="1"/>
            <rFont val="Calibri"/>
            <family val="2"/>
            <scheme val="minor"/>
          </rPr>
          <t>Vu Luong:
Pipes temporarily frozen</t>
        </r>
      </text>
    </comment>
    <comment ref="Y47" authorId="1" shapeId="0" xr:uid="{E8584A08-3306-48BF-A759-A0F42A95B49B}">
      <text>
        <t>[Threaded comment]
Your version of Excel allows you to read this threaded comment; however, any edits to it will get removed if the file is opened in a newer version of Excel. Learn more: https://go.microsoft.com/fwlink/?linkid=870924
Comment:
    Mari made from unfiltrated samples</t>
      </text>
    </comment>
    <comment ref="Y50" authorId="2" shapeId="0" xr:uid="{BDDC59DD-9DE3-49EF-96A6-62A8415B679F}">
      <text>
        <t>[Threaded comment]
Your version of Excel allows you to read this threaded comment; however, any edits to it will get removed if the file is opened in a newer version of Excel. Learn more: https://go.microsoft.com/fwlink/?linkid=870924
Comment:
    Mari made from unfiltrated samples</t>
      </text>
    </comment>
    <comment ref="A52" authorId="3" shapeId="0" xr:uid="{47154A4E-12A8-44F2-A6DD-E6020140C302}">
      <text>
        <t>[Threaded comment]
Your version of Excel allows you to read this threaded comment; however, any edits to it will get removed if the file is opened in a newer version of Excel. Learn more: https://go.microsoft.com/fwlink/?linkid=870924
Comment:
    15.2. manual dilution corrected samples 25.1.-8.2.
Reply:
    Vu will correct the TOC/TN value according to standard</t>
      </text>
    </comment>
    <comment ref="A55" authorId="4" shapeId="0" xr:uid="{FDFF6C74-33EC-4666-A064-E1137A9E130A}">
      <text>
        <t>[Threaded comment]
Your version of Excel allows you to read this threaded comment; however, any edits to it will get removed if the file is opened in a newer version of Excel. Learn more: https://go.microsoft.com/fwlink/?linkid=870924
Comment:
    Jussi corrected according standards
Reply:
    afterward</t>
      </text>
    </comment>
    <comment ref="Y55" authorId="5" shapeId="0" xr:uid="{68935A67-0186-480A-A829-48ECCD4CE9C2}">
      <text>
        <t>[Threaded comment]
Your version of Excel allows you to read this threaded comment; however, any edits to it will get removed if the file is opened in a newer version of Excel. Learn more: https://go.microsoft.com/fwlink/?linkid=870924
Comment:
    Made from sentrifuged and filtrated samples</t>
      </text>
    </comment>
    <comment ref="A57" authorId="6" shapeId="0" xr:uid="{29A061C3-E10B-418B-A0EB-864D2D9018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Submersible pump problems </t>
      </text>
    </comment>
    <comment ref="A58" authorId="7" shapeId="0" xr:uid="{7C605C5B-8846-4A4A-ABED-0567ABFED2D9}">
      <text>
        <t>[Threaded comment]
Your version of Excel allows you to read this threaded comment; however, any edits to it will get removed if the file is opened in a newer version of Excel. Learn more: https://go.microsoft.com/fwlink/?linkid=870924
Comment:
    Submersible pump problems</t>
      </text>
    </comment>
    <comment ref="A62" authorId="0" shapeId="0" xr:uid="{A3619487-7592-4FC1-AF20-461C7A6E8C8A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added 150 g glucose</t>
        </r>
      </text>
    </comment>
    <comment ref="BB62" authorId="0" shapeId="0" xr:uid="{1FADCEBA-B2CE-4283-B83C-6F4282EAE6DF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filted 0.45 um</t>
        </r>
      </text>
    </comment>
    <comment ref="BG63" authorId="0" shapeId="0" xr:uid="{0A214058-C860-4A11-8164-0F6D4D23AC9B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added 100 g CaCO3
before pH: 4.73</t>
        </r>
      </text>
    </comment>
    <comment ref="BG64" authorId="0" shapeId="0" xr:uid="{50ED0776-3A6A-429E-B892-9D1CC1812353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added ? CaCO3
beofre pH 6.38
</t>
        </r>
      </text>
    </comment>
    <comment ref="A66" authorId="0" shapeId="0" xr:uid="{FA6C4B54-D5D0-4C69-8D96-CAE37A3F4E51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added 35g Glucose in the afternoon, no sampling</t>
        </r>
      </text>
    </comment>
    <comment ref="AZ66" authorId="0" shapeId="0" xr:uid="{2B71E13F-7258-43AB-8773-48BEB3CFE922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A69" authorId="0" shapeId="0" xr:uid="{FA543E08-A251-4D2F-AE03-7DAAC364DE7D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added 100g glucose, sampling</t>
        </r>
      </text>
    </comment>
    <comment ref="AX72" authorId="0" shapeId="0" xr:uid="{6AB61AC9-FC5E-4012-B267-A3CC2804EA28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&gt;1500 mg/L</t>
        </r>
      </text>
    </comment>
    <comment ref="AX80" authorId="0" shapeId="0" xr:uid="{FBF70C3F-5031-4253-90A3-39549D34272E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&gt;1500 mg/L</t>
        </r>
      </text>
    </comment>
    <comment ref="CD84" authorId="0" shapeId="0" xr:uid="{5D42B1AE-2C7E-4C38-8F1C-6E03EAD941F0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outlier 110 mg/L</t>
        </r>
      </text>
    </comment>
    <comment ref="Y89" authorId="0" shapeId="0" xr:uid="{909CA32A-8663-4B4F-B043-472BF26789D1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total COD: 763</t>
        </r>
      </text>
    </comment>
    <comment ref="A97" authorId="0" shapeId="0" xr:uid="{89787F26-361A-4E2B-9515-9903284335D9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Set up feed tank (FT)
Mixed WW with glucose</t>
        </r>
      </text>
    </comment>
    <comment ref="AH98" authorId="0" shapeId="0" xr:uid="{56E76915-0486-4AC0-A30F-7B9DF51C645A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pH in the afternoon 5.6</t>
        </r>
      </text>
    </comment>
    <comment ref="Y99" authorId="0" shapeId="0" xr:uid="{893AB0B8-C3C4-4CB4-A518-00AB3F9ABCE5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outlier 710 mg/L</t>
        </r>
      </text>
    </comment>
    <comment ref="CD99" authorId="0" shapeId="0" xr:uid="{2DCC7F26-ADF7-485C-81C1-2FB049732196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outlier 245 mg/L</t>
        </r>
      </text>
    </comment>
    <comment ref="Y100" authorId="0" shapeId="0" xr:uid="{DDBB6651-9C26-4237-B95D-FBFD1624A30A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outlier 750mg/L</t>
        </r>
      </text>
    </comment>
    <comment ref="Y101" authorId="0" shapeId="0" xr:uid="{2AE34434-E2C7-4FAA-9B05-1ADEBE3F51EE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total COD: 1040</t>
        </r>
      </text>
    </comment>
    <comment ref="A105" authorId="0" shapeId="0" xr:uid="{6F877871-E4FB-4D7F-81CA-09055F889EDA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collected last FT sample </t>
        </r>
      </text>
    </comment>
    <comment ref="A115" authorId="0" shapeId="0" xr:uid="{14526944-7F80-4E13-8D8D-D26577588908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started MBR</t>
        </r>
      </text>
    </comment>
    <comment ref="CF116" authorId="0" shapeId="0" xr:uid="{D67FFDDF-0AF9-407B-9552-5F8C089787E5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outliner</t>
        </r>
      </text>
    </comment>
    <comment ref="A127" authorId="0" shapeId="0" xr:uid="{A069494D-872F-4180-B9D7-C76F9D449E63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solenoid V-21 was blocked =&gt; UASB's efluent filled MBR tank =&gt; MBR's sludge went out of the tank</t>
        </r>
      </text>
    </comment>
    <comment ref="A135" authorId="0" shapeId="0" xr:uid="{C5C68167-A616-4FC1-84E4-1E43B383AE44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sludges emptied 1/3</t>
        </r>
      </text>
    </comment>
    <comment ref="Y141" authorId="0" shapeId="0" xr:uid="{AE5903CA-1170-48C1-96A1-CC67618B1382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w/o filter 539 mg/L COD</t>
        </r>
      </text>
    </comment>
    <comment ref="CD141" authorId="0" shapeId="0" xr:uid="{9A009A05-1535-4CBB-954D-AFA75AAA3D10}">
      <text>
        <r>
          <rPr>
            <b/>
            <sz val="9"/>
            <color indexed="81"/>
            <rFont val="Tahoma"/>
            <family val="2"/>
          </rPr>
          <t>Vu Luong:</t>
        </r>
        <r>
          <rPr>
            <sz val="9"/>
            <color indexed="81"/>
            <rFont val="Tahoma"/>
            <family val="2"/>
          </rPr>
          <t xml:space="preserve">
w/o filter 357 mg/L</t>
        </r>
      </text>
    </comment>
  </commentList>
</comments>
</file>

<file path=xl/sharedStrings.xml><?xml version="1.0" encoding="utf-8"?>
<sst xmlns="http://schemas.openxmlformats.org/spreadsheetml/2006/main" count="717" uniqueCount="112">
  <si>
    <t>S0</t>
  </si>
  <si>
    <t>S1</t>
  </si>
  <si>
    <t>S2</t>
  </si>
  <si>
    <t>TOC/TN</t>
  </si>
  <si>
    <t>IC Anion</t>
  </si>
  <si>
    <t>IC Cation</t>
  </si>
  <si>
    <t>Cell test</t>
  </si>
  <si>
    <t>pH</t>
  </si>
  <si>
    <t>TC</t>
  </si>
  <si>
    <t>TIC</t>
  </si>
  <si>
    <t>TN</t>
  </si>
  <si>
    <t>TOC</t>
  </si>
  <si>
    <t>Cl-</t>
  </si>
  <si>
    <t>NO2-</t>
  </si>
  <si>
    <t>NO3-</t>
  </si>
  <si>
    <t>PO4 3-</t>
  </si>
  <si>
    <t>SO4 2-</t>
  </si>
  <si>
    <t>NH4</t>
  </si>
  <si>
    <t>Na</t>
  </si>
  <si>
    <t>K</t>
  </si>
  <si>
    <t>Mg</t>
  </si>
  <si>
    <t>Ca</t>
  </si>
  <si>
    <t>NH4+ -N</t>
  </si>
  <si>
    <t>COD</t>
  </si>
  <si>
    <t>mg/L</t>
  </si>
  <si>
    <t>%</t>
  </si>
  <si>
    <t>Avg</t>
  </si>
  <si>
    <t>STD</t>
  </si>
  <si>
    <t>MLSS</t>
  </si>
  <si>
    <t>Aerobic sludge</t>
  </si>
  <si>
    <t>Biogas sludge</t>
  </si>
  <si>
    <t>Fiter paper</t>
  </si>
  <si>
    <t>Dried @105oC</t>
  </si>
  <si>
    <t>Volume</t>
  </si>
  <si>
    <t>Note</t>
  </si>
  <si>
    <t>Container</t>
  </si>
  <si>
    <t>Burned @550</t>
  </si>
  <si>
    <t>MLVSS</t>
  </si>
  <si>
    <t>g</t>
  </si>
  <si>
    <t>ml</t>
  </si>
  <si>
    <t>g/L</t>
  </si>
  <si>
    <t>LPR activated sludge</t>
  </si>
  <si>
    <t>UASB with diluted</t>
  </si>
  <si>
    <t>pH 7.06</t>
  </si>
  <si>
    <t>&lt;--- Calculation error, ashless, Vu corrected</t>
  </si>
  <si>
    <t>COD cal/est</t>
  </si>
  <si>
    <t>COD removal</t>
  </si>
  <si>
    <t>TS_11.05_S1</t>
  </si>
  <si>
    <t>TS_11.05_S2_be</t>
  </si>
  <si>
    <t>TS_11.05_S2_af</t>
  </si>
  <si>
    <t>Measure the total sodid in UASB tank, S2 before and after installing 1mm strainer (between UASB and MBR tank)</t>
  </si>
  <si>
    <t>MLSS/MLVSS ratio</t>
  </si>
  <si>
    <t>COD cal.</t>
  </si>
  <si>
    <t>S3</t>
  </si>
  <si>
    <t>S4</t>
  </si>
  <si>
    <t>Alkalinity</t>
  </si>
  <si>
    <t>mg/L CaCO3</t>
  </si>
  <si>
    <t>Anaerobic sludge (S1)</t>
  </si>
  <si>
    <t>MBR tank (S3)</t>
  </si>
  <si>
    <t>UASB</t>
  </si>
  <si>
    <t>MBR</t>
  </si>
  <si>
    <t>Carbon/nitrogen reduction S2/S0</t>
  </si>
  <si>
    <t>Ethane</t>
  </si>
  <si>
    <t>Hydrogen sulfide</t>
  </si>
  <si>
    <t>Propane</t>
  </si>
  <si>
    <t>Carbon dioxide</t>
  </si>
  <si>
    <t>Carbon monoxide</t>
  </si>
  <si>
    <t>Neon</t>
  </si>
  <si>
    <t>Hydrogen</t>
  </si>
  <si>
    <t>Helium</t>
  </si>
  <si>
    <t>Methane</t>
  </si>
  <si>
    <t>Oxygen</t>
  </si>
  <si>
    <t>Nitrogen</t>
  </si>
  <si>
    <t>NO3-N</t>
  </si>
  <si>
    <t>NH4-N</t>
  </si>
  <si>
    <t>COD removed/d</t>
  </si>
  <si>
    <t>Methane production rate</t>
  </si>
  <si>
    <t>L/d</t>
  </si>
  <si>
    <t>kg/d</t>
  </si>
  <si>
    <t>m3CH4/kgCOD removed</t>
  </si>
  <si>
    <t>l/h</t>
  </si>
  <si>
    <t>l/d</t>
  </si>
  <si>
    <t>Methane proportion</t>
  </si>
  <si>
    <t>Avg. gas production</t>
  </si>
  <si>
    <t>Avg. Methane production</t>
  </si>
  <si>
    <t>Carbon/nitrogen reduction overall</t>
  </si>
  <si>
    <t>L/min</t>
  </si>
  <si>
    <t>Flowrate MBR</t>
  </si>
  <si>
    <t>Filter time</t>
  </si>
  <si>
    <t>min</t>
  </si>
  <si>
    <t>Relaxtion time</t>
  </si>
  <si>
    <t>Treated vol</t>
  </si>
  <si>
    <t>TN (raw)</t>
  </si>
  <si>
    <t>TN(raw)</t>
  </si>
  <si>
    <t>TP (raw)</t>
  </si>
  <si>
    <t>PO4 3- (raw)</t>
  </si>
  <si>
    <t>COD (raw)</t>
  </si>
  <si>
    <t>TP</t>
  </si>
  <si>
    <t>TP_filted</t>
  </si>
  <si>
    <t>COD_filted</t>
  </si>
  <si>
    <t>NH4+ -N_filted</t>
  </si>
  <si>
    <t>TN_filted</t>
  </si>
  <si>
    <t>Carbon/nitrogen reduction S4/S2</t>
  </si>
  <si>
    <t>NO2-N</t>
  </si>
  <si>
    <t>TOC/TN new</t>
  </si>
  <si>
    <t>Removal S4/S0 old</t>
  </si>
  <si>
    <t>Removal S4/S0 new</t>
  </si>
  <si>
    <t>IC</t>
  </si>
  <si>
    <t>ICP lid</t>
  </si>
  <si>
    <t>ICP solid</t>
  </si>
  <si>
    <t>IC P ion</t>
  </si>
  <si>
    <t>Carbon/nitrogen reduction S4/S0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</si>
</sst>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0_-;\-* #,##0.000_-;_-* &quot;-&quot;??_-;_-@_-"/>
    <numFmt numFmtId="165" formatCode="d\.m\.yyyy;@"/>
    <numFmt numFmtId="166" formatCode="_-* #,##0_-;\-* #,##0_-;_-* &quot;-&quot;??_-;_-@_-"/>
    <numFmt numFmtId="167" formatCode="d/m/yyyy;@"/>
    <numFmt numFmtId="168" formatCode="[$-409]d\-mmm\-yy;@"/>
    <numFmt numFmtId="169" formatCode="_-* #,##0.0_-;\-* #,##0.0_-;_-* &quot;-&quot;??_-;_-@_-"/>
    <numFmt numFmtId="170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rgb="FF9C0006"/>
      <name val="Calibri"/>
      <family val="2"/>
      <scheme val="minor"/>
    </font>
    <font>
      <b/>
      <sz val="14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220">
    <xf numFmtId="0" fontId="0" fillId="0" borderId="0" xfId="0"/>
    <xf numFmtId="43" fontId="0" fillId="0" borderId="0" xfId="1" applyFont="1"/>
    <xf numFmtId="0" fontId="0" fillId="4" borderId="0" xfId="0" applyFill="1"/>
    <xf numFmtId="43" fontId="1" fillId="0" borderId="0" xfId="1" applyFont="1" applyFill="1"/>
    <xf numFmtId="164" fontId="0" fillId="0" borderId="0" xfId="1" applyNumberFormat="1" applyFont="1"/>
    <xf numFmtId="165" fontId="0" fillId="0" borderId="0" xfId="0" applyNumberFormat="1"/>
    <xf numFmtId="168" fontId="5" fillId="4" borderId="1" xfId="0" applyNumberFormat="1" applyFont="1" applyFill="1" applyBorder="1"/>
    <xf numFmtId="168" fontId="5" fillId="0" borderId="1" xfId="0" applyNumberFormat="1" applyFont="1" applyBorder="1"/>
    <xf numFmtId="0" fontId="6" fillId="0" borderId="0" xfId="0" applyFont="1"/>
    <xf numFmtId="168" fontId="5" fillId="13" borderId="1" xfId="0" applyNumberFormat="1" applyFont="1" applyFill="1" applyBorder="1"/>
    <xf numFmtId="1" fontId="5" fillId="13" borderId="1" xfId="0" applyNumberFormat="1" applyFont="1" applyFill="1" applyBorder="1"/>
    <xf numFmtId="0" fontId="0" fillId="13" borderId="0" xfId="0" applyFill="1"/>
    <xf numFmtId="0" fontId="0" fillId="0" borderId="1" xfId="0" applyBorder="1"/>
    <xf numFmtId="165" fontId="0" fillId="0" borderId="1" xfId="0" applyNumberFormat="1" applyBorder="1"/>
    <xf numFmtId="165" fontId="6" fillId="0" borderId="1" xfId="0" applyNumberFormat="1" applyFont="1" applyBorder="1"/>
    <xf numFmtId="0" fontId="6" fillId="0" borderId="1" xfId="0" applyFont="1" applyBorder="1"/>
    <xf numFmtId="164" fontId="6" fillId="0" borderId="1" xfId="1" applyNumberFormat="1" applyFont="1" applyBorder="1"/>
    <xf numFmtId="43" fontId="6" fillId="0" borderId="1" xfId="1" applyFont="1" applyBorder="1"/>
    <xf numFmtId="164" fontId="0" fillId="0" borderId="1" xfId="1" applyNumberFormat="1" applyFont="1" applyBorder="1"/>
    <xf numFmtId="43" fontId="0" fillId="0" borderId="1" xfId="1" applyFont="1" applyBorder="1"/>
    <xf numFmtId="167" fontId="0" fillId="0" borderId="1" xfId="0" applyNumberFormat="1" applyBorder="1"/>
    <xf numFmtId="43" fontId="1" fillId="0" borderId="1" xfId="1" applyFont="1" applyFill="1" applyBorder="1"/>
    <xf numFmtId="167" fontId="0" fillId="4" borderId="1" xfId="0" applyNumberFormat="1" applyFill="1" applyBorder="1"/>
    <xf numFmtId="43" fontId="0" fillId="4" borderId="1" xfId="1" applyFont="1" applyFill="1" applyBorder="1"/>
    <xf numFmtId="164" fontId="0" fillId="4" borderId="1" xfId="1" applyNumberFormat="1" applyFont="1" applyFill="1" applyBorder="1"/>
    <xf numFmtId="0" fontId="0" fillId="4" borderId="1" xfId="0" applyFill="1" applyBorder="1"/>
    <xf numFmtId="43" fontId="4" fillId="4" borderId="1" xfId="1" applyFont="1" applyFill="1" applyBorder="1"/>
    <xf numFmtId="164" fontId="1" fillId="4" borderId="1" xfId="1" applyNumberFormat="1" applyFont="1" applyFill="1" applyBorder="1"/>
    <xf numFmtId="43" fontId="1" fillId="4" borderId="1" xfId="1" applyFont="1" applyFill="1" applyBorder="1"/>
    <xf numFmtId="43" fontId="6" fillId="11" borderId="1" xfId="1" applyFont="1" applyFill="1" applyBorder="1"/>
    <xf numFmtId="164" fontId="7" fillId="0" borderId="1" xfId="1" applyNumberFormat="1" applyFont="1" applyBorder="1"/>
    <xf numFmtId="167" fontId="7" fillId="0" borderId="1" xfId="0" applyNumberFormat="1" applyFont="1" applyBorder="1"/>
    <xf numFmtId="164" fontId="0" fillId="0" borderId="1" xfId="0" applyNumberFormat="1" applyBorder="1"/>
    <xf numFmtId="164" fontId="0" fillId="4" borderId="1" xfId="0" applyNumberFormat="1" applyFill="1" applyBorder="1"/>
    <xf numFmtId="43" fontId="0" fillId="2" borderId="1" xfId="1" applyFont="1" applyFill="1" applyBorder="1"/>
    <xf numFmtId="1" fontId="5" fillId="0" borderId="1" xfId="0" applyNumberFormat="1" applyFont="1" applyBorder="1"/>
    <xf numFmtId="164" fontId="0" fillId="0" borderId="1" xfId="1" applyNumberFormat="1" applyFont="1" applyFill="1" applyBorder="1"/>
    <xf numFmtId="43" fontId="0" fillId="0" borderId="1" xfId="1" applyFont="1" applyFill="1" applyBorder="1"/>
    <xf numFmtId="0" fontId="0" fillId="13" borderId="1" xfId="0" applyFill="1" applyBorder="1"/>
    <xf numFmtId="164" fontId="0" fillId="13" borderId="1" xfId="1" applyNumberFormat="1" applyFont="1" applyFill="1" applyBorder="1"/>
    <xf numFmtId="43" fontId="0" fillId="13" borderId="1" xfId="1" applyFont="1" applyFill="1" applyBorder="1"/>
    <xf numFmtId="0" fontId="0" fillId="17" borderId="1" xfId="0" applyFill="1" applyBorder="1"/>
    <xf numFmtId="165" fontId="10" fillId="0" borderId="1" xfId="0" applyNumberFormat="1" applyFont="1" applyBorder="1"/>
    <xf numFmtId="0" fontId="10" fillId="0" borderId="0" xfId="0" applyFont="1"/>
    <xf numFmtId="43" fontId="4" fillId="0" borderId="1" xfId="1" applyFont="1" applyBorder="1"/>
    <xf numFmtId="43" fontId="0" fillId="17" borderId="1" xfId="1" applyFont="1" applyFill="1" applyBorder="1"/>
    <xf numFmtId="168" fontId="5" fillId="0" borderId="0" xfId="0" applyNumberFormat="1" applyFont="1"/>
    <xf numFmtId="1" fontId="5" fillId="13" borderId="0" xfId="0" applyNumberFormat="1" applyFont="1" applyFill="1"/>
    <xf numFmtId="164" fontId="0" fillId="0" borderId="0" xfId="1" applyNumberFormat="1" applyFont="1" applyBorder="1"/>
    <xf numFmtId="43" fontId="0" fillId="0" borderId="0" xfId="1" applyFont="1" applyBorder="1"/>
    <xf numFmtId="43" fontId="13" fillId="0" borderId="0" xfId="1" applyFont="1" applyAlignment="1"/>
    <xf numFmtId="164" fontId="0" fillId="17" borderId="1" xfId="1" applyNumberFormat="1" applyFont="1" applyFill="1" applyBorder="1"/>
    <xf numFmtId="165" fontId="14" fillId="0" borderId="1" xfId="0" applyNumberFormat="1" applyFont="1" applyBorder="1"/>
    <xf numFmtId="43" fontId="14" fillId="0" borderId="1" xfId="1" applyFont="1" applyBorder="1"/>
    <xf numFmtId="0" fontId="14" fillId="0" borderId="0" xfId="0" applyFont="1"/>
    <xf numFmtId="0" fontId="14" fillId="16" borderId="1" xfId="0" applyFont="1" applyFill="1" applyBorder="1"/>
    <xf numFmtId="0" fontId="14" fillId="0" borderId="1" xfId="0" applyFont="1" applyBorder="1" applyAlignment="1">
      <alignment horizontal="center"/>
    </xf>
    <xf numFmtId="43" fontId="14" fillId="8" borderId="1" xfId="1" applyFont="1" applyFill="1" applyBorder="1"/>
    <xf numFmtId="0" fontId="14" fillId="9" borderId="1" xfId="0" applyFont="1" applyFill="1" applyBorder="1"/>
    <xf numFmtId="0" fontId="14" fillId="10" borderId="1" xfId="0" applyFont="1" applyFill="1" applyBorder="1"/>
    <xf numFmtId="0" fontId="14" fillId="0" borderId="1" xfId="0" applyFont="1" applyBorder="1"/>
    <xf numFmtId="166" fontId="14" fillId="0" borderId="1" xfId="1" applyNumberFormat="1" applyFont="1" applyBorder="1"/>
    <xf numFmtId="0" fontId="14" fillId="8" borderId="1" xfId="0" applyFont="1" applyFill="1" applyBorder="1"/>
    <xf numFmtId="169" fontId="14" fillId="0" borderId="1" xfId="1" applyNumberFormat="1" applyFont="1" applyBorder="1"/>
    <xf numFmtId="2" fontId="14" fillId="8" borderId="1" xfId="0" applyNumberFormat="1" applyFont="1" applyFill="1" applyBorder="1"/>
    <xf numFmtId="43" fontId="14" fillId="9" borderId="1" xfId="1" applyFont="1" applyFill="1" applyBorder="1"/>
    <xf numFmtId="0" fontId="16" fillId="0" borderId="1" xfId="0" applyFont="1" applyBorder="1"/>
    <xf numFmtId="0" fontId="16" fillId="16" borderId="1" xfId="0" applyFont="1" applyFill="1" applyBorder="1"/>
    <xf numFmtId="43" fontId="14" fillId="12" borderId="1" xfId="1" applyFont="1" applyFill="1" applyBorder="1"/>
    <xf numFmtId="43" fontId="16" fillId="8" borderId="1" xfId="1" applyFont="1" applyFill="1" applyBorder="1"/>
    <xf numFmtId="43" fontId="16" fillId="9" borderId="1" xfId="1" applyFont="1" applyFill="1" applyBorder="1"/>
    <xf numFmtId="43" fontId="16" fillId="10" borderId="1" xfId="1" applyFont="1" applyFill="1" applyBorder="1"/>
    <xf numFmtId="43" fontId="16" fillId="0" borderId="1" xfId="1" applyFont="1" applyFill="1" applyBorder="1"/>
    <xf numFmtId="166" fontId="16" fillId="0" borderId="1" xfId="1" applyNumberFormat="1" applyFont="1" applyFill="1" applyBorder="1"/>
    <xf numFmtId="43" fontId="16" fillId="16" borderId="1" xfId="1" applyFont="1" applyFill="1" applyBorder="1"/>
    <xf numFmtId="169" fontId="16" fillId="0" borderId="1" xfId="1" applyNumberFormat="1" applyFont="1" applyFill="1" applyBorder="1"/>
    <xf numFmtId="0" fontId="16" fillId="9" borderId="1" xfId="0" applyFont="1" applyFill="1" applyBorder="1"/>
    <xf numFmtId="0" fontId="16" fillId="10" borderId="1" xfId="0" applyFont="1" applyFill="1" applyBorder="1"/>
    <xf numFmtId="43" fontId="16" fillId="12" borderId="1" xfId="1" applyFont="1" applyFill="1" applyBorder="1"/>
    <xf numFmtId="43" fontId="16" fillId="0" borderId="1" xfId="1" applyFont="1" applyBorder="1"/>
    <xf numFmtId="0" fontId="16" fillId="0" borderId="0" xfId="0" applyFont="1"/>
    <xf numFmtId="168" fontId="14" fillId="4" borderId="1" xfId="0" applyNumberFormat="1" applyFont="1" applyFill="1" applyBorder="1"/>
    <xf numFmtId="43" fontId="16" fillId="4" borderId="1" xfId="1" applyFont="1" applyFill="1" applyBorder="1"/>
    <xf numFmtId="166" fontId="16" fillId="4" borderId="1" xfId="1" applyNumberFormat="1" applyFont="1" applyFill="1" applyBorder="1"/>
    <xf numFmtId="169" fontId="16" fillId="4" borderId="1" xfId="1" applyNumberFormat="1" applyFont="1" applyFill="1" applyBorder="1"/>
    <xf numFmtId="0" fontId="16" fillId="4" borderId="0" xfId="0" applyFont="1" applyFill="1"/>
    <xf numFmtId="168" fontId="14" fillId="0" borderId="1" xfId="0" applyNumberFormat="1" applyFont="1" applyBorder="1"/>
    <xf numFmtId="43" fontId="16" fillId="8" borderId="1" xfId="1" applyFont="1" applyFill="1" applyBorder="1" applyAlignment="1">
      <alignment horizontal="center" vertical="center"/>
    </xf>
    <xf numFmtId="43" fontId="16" fillId="8" borderId="1" xfId="1" applyFont="1" applyFill="1" applyBorder="1" applyAlignment="1">
      <alignment horizontal="center"/>
    </xf>
    <xf numFmtId="168" fontId="14" fillId="0" borderId="1" xfId="0" applyNumberFormat="1" applyFont="1" applyBorder="1" applyAlignment="1">
      <alignment horizontal="right"/>
    </xf>
    <xf numFmtId="43" fontId="17" fillId="8" borderId="1" xfId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43" fontId="17" fillId="8" borderId="1" xfId="1" applyFont="1" applyFill="1" applyBorder="1" applyAlignment="1">
      <alignment horizontal="center"/>
    </xf>
    <xf numFmtId="43" fontId="17" fillId="8" borderId="1" xfId="1" applyFont="1" applyFill="1" applyBorder="1"/>
    <xf numFmtId="0" fontId="17" fillId="16" borderId="1" xfId="0" applyFont="1" applyFill="1" applyBorder="1"/>
    <xf numFmtId="0" fontId="17" fillId="8" borderId="1" xfId="0" applyFont="1" applyFill="1" applyBorder="1"/>
    <xf numFmtId="43" fontId="17" fillId="18" borderId="1" xfId="1" applyFont="1" applyFill="1" applyBorder="1"/>
    <xf numFmtId="0" fontId="17" fillId="18" borderId="1" xfId="0" applyFont="1" applyFill="1" applyBorder="1"/>
    <xf numFmtId="169" fontId="16" fillId="2" borderId="1" xfId="1" applyNumberFormat="1" applyFont="1" applyFill="1" applyBorder="1"/>
    <xf numFmtId="168" fontId="14" fillId="2" borderId="1" xfId="0" applyNumberFormat="1" applyFont="1" applyFill="1" applyBorder="1"/>
    <xf numFmtId="1" fontId="14" fillId="2" borderId="1" xfId="0" applyNumberFormat="1" applyFont="1" applyFill="1" applyBorder="1"/>
    <xf numFmtId="43" fontId="16" fillId="2" borderId="1" xfId="1" applyFont="1" applyFill="1" applyBorder="1"/>
    <xf numFmtId="43" fontId="16" fillId="15" borderId="1" xfId="1" applyFont="1" applyFill="1" applyBorder="1"/>
    <xf numFmtId="169" fontId="16" fillId="15" borderId="1" xfId="1" applyNumberFormat="1" applyFont="1" applyFill="1" applyBorder="1"/>
    <xf numFmtId="1" fontId="14" fillId="0" borderId="1" xfId="0" applyNumberFormat="1" applyFont="1" applyBorder="1"/>
    <xf numFmtId="168" fontId="14" fillId="13" borderId="1" xfId="0" applyNumberFormat="1" applyFont="1" applyFill="1" applyBorder="1"/>
    <xf numFmtId="1" fontId="14" fillId="13" borderId="1" xfId="0" applyNumberFormat="1" applyFont="1" applyFill="1" applyBorder="1"/>
    <xf numFmtId="43" fontId="17" fillId="14" borderId="1" xfId="1" applyFont="1" applyFill="1" applyBorder="1"/>
    <xf numFmtId="43" fontId="17" fillId="13" borderId="1" xfId="1" applyFont="1" applyFill="1" applyBorder="1"/>
    <xf numFmtId="43" fontId="16" fillId="13" borderId="1" xfId="1" applyFont="1" applyFill="1" applyBorder="1"/>
    <xf numFmtId="166" fontId="16" fillId="13" borderId="1" xfId="1" applyNumberFormat="1" applyFont="1" applyFill="1" applyBorder="1"/>
    <xf numFmtId="0" fontId="17" fillId="14" borderId="1" xfId="0" applyFont="1" applyFill="1" applyBorder="1"/>
    <xf numFmtId="43" fontId="16" fillId="13" borderId="1" xfId="1" applyFont="1" applyFill="1" applyBorder="1" applyAlignment="1">
      <alignment horizontal="center" vertical="center"/>
    </xf>
    <xf numFmtId="169" fontId="16" fillId="13" borderId="1" xfId="1" applyNumberFormat="1" applyFont="1" applyFill="1" applyBorder="1"/>
    <xf numFmtId="43" fontId="16" fillId="13" borderId="1" xfId="1" applyFont="1" applyFill="1" applyBorder="1" applyAlignment="1">
      <alignment horizontal="center"/>
    </xf>
    <xf numFmtId="0" fontId="16" fillId="13" borderId="1" xfId="0" applyFont="1" applyFill="1" applyBorder="1"/>
    <xf numFmtId="0" fontId="16" fillId="13" borderId="0" xfId="0" applyFont="1" applyFill="1"/>
    <xf numFmtId="166" fontId="16" fillId="2" borderId="1" xfId="1" applyNumberFormat="1" applyFont="1" applyFill="1" applyBorder="1"/>
    <xf numFmtId="43" fontId="16" fillId="0" borderId="0" xfId="1" applyFont="1"/>
    <xf numFmtId="166" fontId="16" fillId="0" borderId="1" xfId="1" applyNumberFormat="1" applyFont="1" applyBorder="1"/>
    <xf numFmtId="165" fontId="14" fillId="0" borderId="2" xfId="0" applyNumberFormat="1" applyFont="1" applyBorder="1"/>
    <xf numFmtId="43" fontId="16" fillId="8" borderId="2" xfId="1" applyFont="1" applyFill="1" applyBorder="1"/>
    <xf numFmtId="43" fontId="16" fillId="9" borderId="2" xfId="1" applyFont="1" applyFill="1" applyBorder="1"/>
    <xf numFmtId="43" fontId="16" fillId="10" borderId="2" xfId="1" applyFont="1" applyFill="1" applyBorder="1"/>
    <xf numFmtId="43" fontId="16" fillId="0" borderId="2" xfId="1" applyFont="1" applyBorder="1"/>
    <xf numFmtId="166" fontId="16" fillId="0" borderId="2" xfId="1" applyNumberFormat="1" applyFont="1" applyBorder="1"/>
    <xf numFmtId="43" fontId="16" fillId="16" borderId="2" xfId="1" applyFont="1" applyFill="1" applyBorder="1"/>
    <xf numFmtId="169" fontId="16" fillId="0" borderId="2" xfId="1" applyNumberFormat="1" applyFont="1" applyFill="1" applyBorder="1"/>
    <xf numFmtId="43" fontId="16" fillId="0" borderId="2" xfId="1" applyFont="1" applyFill="1" applyBorder="1"/>
    <xf numFmtId="43" fontId="16" fillId="8" borderId="2" xfId="1" applyFont="1" applyFill="1" applyBorder="1" applyAlignment="1">
      <alignment horizontal="center"/>
    </xf>
    <xf numFmtId="43" fontId="16" fillId="8" borderId="0" xfId="1" applyFont="1" applyFill="1"/>
    <xf numFmtId="0" fontId="16" fillId="9" borderId="0" xfId="0" applyFont="1" applyFill="1"/>
    <xf numFmtId="43" fontId="16" fillId="9" borderId="0" xfId="1" applyFont="1" applyFill="1"/>
    <xf numFmtId="0" fontId="16" fillId="10" borderId="0" xfId="0" applyFont="1" applyFill="1"/>
    <xf numFmtId="0" fontId="16" fillId="16" borderId="0" xfId="0" applyFont="1" applyFill="1"/>
    <xf numFmtId="43" fontId="16" fillId="12" borderId="2" xfId="1" applyFont="1" applyFill="1" applyBorder="1"/>
    <xf numFmtId="169" fontId="16" fillId="0" borderId="1" xfId="1" applyNumberFormat="1" applyFont="1" applyBorder="1"/>
    <xf numFmtId="0" fontId="16" fillId="4" borderId="1" xfId="0" applyFont="1" applyFill="1" applyBorder="1"/>
    <xf numFmtId="165" fontId="16" fillId="0" borderId="1" xfId="0" applyNumberFormat="1" applyFont="1" applyBorder="1"/>
    <xf numFmtId="166" fontId="16" fillId="0" borderId="1" xfId="0" applyNumberFormat="1" applyFont="1" applyBorder="1"/>
    <xf numFmtId="0" fontId="16" fillId="0" borderId="1" xfId="0" applyFont="1" applyBorder="1" applyAlignment="1" applyProtection="1">
      <alignment vertical="top"/>
      <protection locked="0"/>
    </xf>
    <xf numFmtId="43" fontId="16" fillId="0" borderId="1" xfId="1" applyFont="1" applyBorder="1" applyAlignment="1" applyProtection="1">
      <alignment vertical="top"/>
      <protection locked="0"/>
    </xf>
    <xf numFmtId="0" fontId="14" fillId="19" borderId="1" xfId="0" applyFont="1" applyFill="1" applyBorder="1"/>
    <xf numFmtId="0" fontId="14" fillId="20" borderId="1" xfId="0" applyFont="1" applyFill="1" applyBorder="1"/>
    <xf numFmtId="0" fontId="16" fillId="19" borderId="1" xfId="0" applyFont="1" applyFill="1" applyBorder="1"/>
    <xf numFmtId="0" fontId="16" fillId="20" borderId="1" xfId="0" applyFont="1" applyFill="1" applyBorder="1"/>
    <xf numFmtId="0" fontId="16" fillId="19" borderId="0" xfId="0" applyFont="1" applyFill="1"/>
    <xf numFmtId="0" fontId="16" fillId="20" borderId="0" xfId="0" applyFont="1" applyFill="1"/>
    <xf numFmtId="168" fontId="14" fillId="0" borderId="2" xfId="0" applyNumberFormat="1" applyFont="1" applyBorder="1"/>
    <xf numFmtId="1" fontId="14" fillId="13" borderId="0" xfId="0" applyNumberFormat="1" applyFont="1" applyFill="1"/>
    <xf numFmtId="1" fontId="16" fillId="0" borderId="0" xfId="0" applyNumberFormat="1" applyFont="1"/>
    <xf numFmtId="170" fontId="16" fillId="0" borderId="0" xfId="0" applyNumberFormat="1" applyFont="1"/>
    <xf numFmtId="164" fontId="16" fillId="0" borderId="0" xfId="1" applyNumberFormat="1" applyFont="1"/>
    <xf numFmtId="43" fontId="18" fillId="2" borderId="1" xfId="1" applyFont="1" applyFill="1" applyBorder="1"/>
    <xf numFmtId="43" fontId="16" fillId="2" borderId="0" xfId="1" applyFont="1" applyFill="1"/>
    <xf numFmtId="0" fontId="16" fillId="2" borderId="0" xfId="0" applyFont="1" applyFill="1"/>
    <xf numFmtId="43" fontId="14" fillId="0" borderId="1" xfId="1" applyFont="1" applyBorder="1" applyAlignment="1">
      <alignment wrapText="1"/>
    </xf>
    <xf numFmtId="0" fontId="14" fillId="0" borderId="1" xfId="0" applyFont="1" applyBorder="1" applyAlignment="1">
      <alignment wrapText="1"/>
    </xf>
    <xf numFmtId="164" fontId="14" fillId="0" borderId="1" xfId="1" applyNumberFormat="1" applyFont="1" applyBorder="1" applyAlignment="1">
      <alignment wrapText="1"/>
    </xf>
    <xf numFmtId="164" fontId="14" fillId="0" borderId="1" xfId="1" applyNumberFormat="1" applyFont="1" applyBorder="1"/>
    <xf numFmtId="43" fontId="14" fillId="2" borderId="1" xfId="1" applyFont="1" applyFill="1" applyBorder="1"/>
    <xf numFmtId="1" fontId="16" fillId="0" borderId="1" xfId="0" applyNumberFormat="1" applyFont="1" applyBorder="1"/>
    <xf numFmtId="164" fontId="16" fillId="0" borderId="1" xfId="1" applyNumberFormat="1" applyFont="1" applyBorder="1"/>
    <xf numFmtId="170" fontId="16" fillId="0" borderId="1" xfId="0" applyNumberFormat="1" applyFont="1" applyBorder="1"/>
    <xf numFmtId="0" fontId="16" fillId="2" borderId="1" xfId="0" applyFont="1" applyFill="1" applyBorder="1"/>
    <xf numFmtId="164" fontId="16" fillId="2" borderId="1" xfId="1" applyNumberFormat="1" applyFont="1" applyFill="1" applyBorder="1"/>
    <xf numFmtId="43" fontId="14" fillId="21" borderId="1" xfId="1" applyFont="1" applyFill="1" applyBorder="1" applyAlignment="1">
      <alignment horizontal="center"/>
    </xf>
    <xf numFmtId="43" fontId="14" fillId="21" borderId="1" xfId="1" applyFont="1" applyFill="1" applyBorder="1"/>
    <xf numFmtId="43" fontId="16" fillId="21" borderId="1" xfId="1" applyFont="1" applyFill="1" applyBorder="1"/>
    <xf numFmtId="43" fontId="16" fillId="21" borderId="2" xfId="1" applyFont="1" applyFill="1" applyBorder="1"/>
    <xf numFmtId="0" fontId="14" fillId="21" borderId="1" xfId="0" applyFont="1" applyFill="1" applyBorder="1" applyAlignment="1">
      <alignment horizontal="center"/>
    </xf>
    <xf numFmtId="0" fontId="14" fillId="21" borderId="1" xfId="0" applyFont="1" applyFill="1" applyBorder="1"/>
    <xf numFmtId="166" fontId="16" fillId="21" borderId="1" xfId="1" applyNumberFormat="1" applyFont="1" applyFill="1" applyBorder="1"/>
    <xf numFmtId="43" fontId="16" fillId="21" borderId="0" xfId="1" applyFont="1" applyFill="1"/>
    <xf numFmtId="43" fontId="14" fillId="10" borderId="1" xfId="1" applyFont="1" applyFill="1" applyBorder="1"/>
    <xf numFmtId="43" fontId="16" fillId="10" borderId="0" xfId="1" applyFont="1" applyFill="1"/>
    <xf numFmtId="169" fontId="14" fillId="9" borderId="1" xfId="1" applyNumberFormat="1" applyFont="1" applyFill="1" applyBorder="1"/>
    <xf numFmtId="169" fontId="16" fillId="9" borderId="1" xfId="1" applyNumberFormat="1" applyFont="1" applyFill="1" applyBorder="1"/>
    <xf numFmtId="169" fontId="16" fillId="9" borderId="0" xfId="1" applyNumberFormat="1" applyFont="1" applyFill="1"/>
    <xf numFmtId="169" fontId="14" fillId="10" borderId="1" xfId="1" applyNumberFormat="1" applyFont="1" applyFill="1" applyBorder="1"/>
    <xf numFmtId="169" fontId="16" fillId="10" borderId="1" xfId="1" applyNumberFormat="1" applyFont="1" applyFill="1" applyBorder="1"/>
    <xf numFmtId="169" fontId="16" fillId="10" borderId="0" xfId="1" applyNumberFormat="1" applyFont="1" applyFill="1"/>
    <xf numFmtId="43" fontId="18" fillId="10" borderId="1" xfId="1" applyFont="1" applyFill="1" applyBorder="1"/>
    <xf numFmtId="43" fontId="18" fillId="13" borderId="1" xfId="1" applyFont="1" applyFill="1" applyBorder="1"/>
    <xf numFmtId="43" fontId="14" fillId="16" borderId="1" xfId="1" applyFont="1" applyFill="1" applyBorder="1"/>
    <xf numFmtId="43" fontId="16" fillId="16" borderId="0" xfId="1" applyFont="1" applyFill="1"/>
    <xf numFmtId="164" fontId="16" fillId="0" borderId="0" xfId="0" applyNumberFormat="1" applyFont="1"/>
    <xf numFmtId="43" fontId="20" fillId="18" borderId="1" xfId="1" applyFont="1" applyFill="1" applyBorder="1"/>
    <xf numFmtId="43" fontId="18" fillId="0" borderId="1" xfId="1" applyFont="1" applyFill="1" applyBorder="1"/>
    <xf numFmtId="169" fontId="16" fillId="0" borderId="0" xfId="1" applyNumberFormat="1" applyFont="1"/>
    <xf numFmtId="166" fontId="16" fillId="0" borderId="0" xfId="1" applyNumberFormat="1" applyFont="1"/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43" fontId="14" fillId="12" borderId="1" xfId="1" applyFont="1" applyFill="1" applyBorder="1" applyAlignment="1">
      <alignment horizontal="center"/>
    </xf>
    <xf numFmtId="0" fontId="15" fillId="6" borderId="1" xfId="3" applyFont="1" applyBorder="1" applyAlignment="1">
      <alignment horizontal="center"/>
    </xf>
    <xf numFmtId="0" fontId="15" fillId="7" borderId="1" xfId="3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43" fontId="14" fillId="8" borderId="1" xfId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5" borderId="1" xfId="2" applyFont="1" applyBorder="1" applyAlignment="1">
      <alignment horizontal="center"/>
    </xf>
    <xf numFmtId="0" fontId="12" fillId="6" borderId="1" xfId="3" applyFont="1" applyBorder="1" applyAlignment="1">
      <alignment horizontal="center"/>
    </xf>
    <xf numFmtId="43" fontId="13" fillId="0" borderId="0" xfId="1" applyFont="1" applyAlignment="1">
      <alignment horizontal="center"/>
    </xf>
    <xf numFmtId="0" fontId="14" fillId="8" borderId="3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0" fontId="14" fillId="8" borderId="5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4" fillId="9" borderId="5" xfId="0" applyFont="1" applyFill="1" applyBorder="1" applyAlignment="1">
      <alignment horizontal="center"/>
    </xf>
    <xf numFmtId="0" fontId="14" fillId="10" borderId="3" xfId="0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5" fillId="7" borderId="3" xfId="3" applyFont="1" applyFill="1" applyBorder="1" applyAlignment="1">
      <alignment horizontal="center"/>
    </xf>
    <xf numFmtId="0" fontId="15" fillId="7" borderId="5" xfId="3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Bad" xfId="2" builtinId="27"/>
    <cellStyle name="Comma" xfId="1" builtinId="3"/>
    <cellStyle name="Neutral" xfId="3" builtinId="2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072222222222228E-2"/>
          <c:y val="4.6465185185185186E-2"/>
          <c:w val="0.81889888888888884"/>
          <c:h val="0.84904240740740744"/>
        </c:manualLayout>
      </c:layout>
      <c:scatterChart>
        <c:scatterStyle val="lineMarker"/>
        <c:varyColors val="0"/>
        <c:ser>
          <c:idx val="0"/>
          <c:order val="0"/>
          <c:tx>
            <c:v>S0_raw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9221148399719916"/>
                  <c:y val="-0.300730184937413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S0_raw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3.5492x + 14.154</a:t>
                    </a:r>
                    <a:br>
                      <a:rPr lang="en-US" baseline="0"/>
                    </a:br>
                    <a:r>
                      <a:rPr lang="en-US" baseline="0"/>
                      <a:t>R² = 0.9595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'TOC-IC-pH'!$F$83:$F$93</c:f>
              <c:numCache>
                <c:formatCode>_(* #,##0.00_);_(* \(#,##0.00\);_(* "-"??_);_(@_)</c:formatCode>
                <c:ptCount val="11"/>
                <c:pt idx="0">
                  <c:v>37.661058637018996</c:v>
                </c:pt>
                <c:pt idx="1">
                  <c:v>85.177180784451082</c:v>
                </c:pt>
                <c:pt idx="3">
                  <c:v>192.73939241535618</c:v>
                </c:pt>
                <c:pt idx="4">
                  <c:v>77.000871276029898</c:v>
                </c:pt>
                <c:pt idx="5">
                  <c:v>81.184423707603344</c:v>
                </c:pt>
                <c:pt idx="6">
                  <c:v>117.46747265100164</c:v>
                </c:pt>
                <c:pt idx="7">
                  <c:v>158.62940435790335</c:v>
                </c:pt>
                <c:pt idx="8">
                  <c:v>119.41620068698469</c:v>
                </c:pt>
                <c:pt idx="9">
                  <c:v>35.696841346870848</c:v>
                </c:pt>
                <c:pt idx="10">
                  <c:v>140.07445698867957</c:v>
                </c:pt>
              </c:numCache>
            </c:numRef>
          </c:xVal>
          <c:yVal>
            <c:numRef>
              <c:f>'TOC-IC-pH'!$U$83:$U$93</c:f>
              <c:numCache>
                <c:formatCode>_-* #\ ##0_-;\-* #\ ##0_-;_-* "-"??_-;_-@_-</c:formatCode>
                <c:ptCount val="11"/>
                <c:pt idx="0">
                  <c:v>140</c:v>
                </c:pt>
                <c:pt idx="1">
                  <c:v>300</c:v>
                </c:pt>
                <c:pt idx="3">
                  <c:v>690</c:v>
                </c:pt>
                <c:pt idx="4">
                  <c:v>240</c:v>
                </c:pt>
                <c:pt idx="5">
                  <c:v>370</c:v>
                </c:pt>
                <c:pt idx="6">
                  <c:v>443.33333333333337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0C-44DF-97F9-B34405B64606}"/>
            </c:ext>
          </c:extLst>
        </c:ser>
        <c:ser>
          <c:idx val="2"/>
          <c:order val="3"/>
          <c:tx>
            <c:v>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2622800606322149"/>
                  <c:y val="-0.198028891272085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S2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3.2275x + 149.91</a:t>
                    </a:r>
                    <a:br>
                      <a:rPr lang="en-US" baseline="0"/>
                    </a:br>
                    <a:r>
                      <a:rPr lang="en-US" baseline="0"/>
                      <a:t>R² = 0.9537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'TOC-IC-pH'!$BG$62:$BG$109</c:f>
              <c:numCache>
                <c:formatCode>_(* #,##0.00_);_(* \(#,##0.00\);_(* "-"??_);_(@_)</c:formatCode>
                <c:ptCount val="48"/>
                <c:pt idx="19">
                  <c:v>13.360740845210842</c:v>
                </c:pt>
                <c:pt idx="21">
                  <c:v>3.3094751453857043</c:v>
                </c:pt>
                <c:pt idx="22">
                  <c:v>18.272235229276703</c:v>
                </c:pt>
                <c:pt idx="23">
                  <c:v>0</c:v>
                </c:pt>
                <c:pt idx="34">
                  <c:v>3.3094751453857043</c:v>
                </c:pt>
                <c:pt idx="36">
                  <c:v>64.134662640883192</c:v>
                </c:pt>
                <c:pt idx="37">
                  <c:v>74.169378788111743</c:v>
                </c:pt>
                <c:pt idx="38">
                  <c:v>35.643199652252022</c:v>
                </c:pt>
                <c:pt idx="39">
                  <c:v>31.016545603393936</c:v>
                </c:pt>
                <c:pt idx="40">
                  <c:v>25.793995811992374</c:v>
                </c:pt>
                <c:pt idx="41">
                  <c:v>49.171013754325926</c:v>
                </c:pt>
                <c:pt idx="42">
                  <c:v>-3.9070985549569741</c:v>
                </c:pt>
                <c:pt idx="43">
                  <c:v>11.034372477498835</c:v>
                </c:pt>
                <c:pt idx="44">
                  <c:v>-20.231994363080432</c:v>
                </c:pt>
                <c:pt idx="45">
                  <c:v>-13.242023079707991</c:v>
                </c:pt>
                <c:pt idx="46">
                  <c:v>-15.062855317724157</c:v>
                </c:pt>
                <c:pt idx="47">
                  <c:v>-20.96459100057676</c:v>
                </c:pt>
              </c:numCache>
            </c:numRef>
          </c:xVal>
          <c:yVal>
            <c:numRef>
              <c:f>'TOC-IC-pH'!$BV$62:$BV$109</c:f>
              <c:numCache>
                <c:formatCode>_(* #,##0.00_);_(* \(#,##0.00\);_(* "-"??_);_(@_)</c:formatCode>
                <c:ptCount val="48"/>
                <c:pt idx="15">
                  <c:v>400</c:v>
                </c:pt>
                <c:pt idx="21">
                  <c:v>190</c:v>
                </c:pt>
                <c:pt idx="36">
                  <c:v>340</c:v>
                </c:pt>
                <c:pt idx="38">
                  <c:v>290</c:v>
                </c:pt>
                <c:pt idx="39">
                  <c:v>240</c:v>
                </c:pt>
                <c:pt idx="46">
                  <c:v>72</c:v>
                </c:pt>
                <c:pt idx="47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EA-4BF0-9C52-DE33D1B688CD}"/>
            </c:ext>
          </c:extLst>
        </c:ser>
        <c:ser>
          <c:idx val="4"/>
          <c:order val="4"/>
          <c:tx>
            <c:v>S4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9842753324133366"/>
                  <c:y val="-0.244196153996385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S4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4.4893x - 19.29</a:t>
                    </a:r>
                    <a:br>
                      <a:rPr lang="en-US" baseline="0"/>
                    </a:br>
                    <a:r>
                      <a:rPr lang="en-US" baseline="0"/>
                      <a:t>R² = 0.8556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'TOC-IC-pH'!$DF$137:$DF$150</c:f>
              <c:numCache>
                <c:formatCode>_(* #,##0.00_);_(* \(#,##0.00\);_(* "-"??_);_(@_)</c:formatCode>
                <c:ptCount val="14"/>
                <c:pt idx="0">
                  <c:v>13.253698289042276</c:v>
                </c:pt>
                <c:pt idx="2">
                  <c:v>18.696268868390845</c:v>
                </c:pt>
                <c:pt idx="3">
                  <c:v>8.241014472623938</c:v>
                </c:pt>
                <c:pt idx="4">
                  <c:v>11.455697048798477</c:v>
                </c:pt>
                <c:pt idx="5">
                  <c:v>7.3880347083369244</c:v>
                </c:pt>
                <c:pt idx="6">
                  <c:v>5.3283194737187856</c:v>
                </c:pt>
                <c:pt idx="7">
                  <c:v>6.7453233981928378</c:v>
                </c:pt>
                <c:pt idx="8">
                  <c:v>13.841325999818366</c:v>
                </c:pt>
                <c:pt idx="9">
                  <c:v>12.970912936478911</c:v>
                </c:pt>
                <c:pt idx="10">
                  <c:v>10.98397888889987</c:v>
                </c:pt>
                <c:pt idx="11">
                  <c:v>9.6624574129387675</c:v>
                </c:pt>
                <c:pt idx="12">
                  <c:v>10.309848704175586</c:v>
                </c:pt>
                <c:pt idx="13">
                  <c:v>9.9113887763668345</c:v>
                </c:pt>
              </c:numCache>
            </c:numRef>
          </c:xVal>
          <c:yVal>
            <c:numRef>
              <c:f>'TOC-IC-pH'!$DU$137:$DU$150</c:f>
              <c:numCache>
                <c:formatCode>_(* #,##0.00_);_(* \(#,##0.00\);_(* "-"??_);_(@_)</c:formatCode>
                <c:ptCount val="14"/>
                <c:pt idx="0">
                  <c:v>39.6</c:v>
                </c:pt>
                <c:pt idx="1">
                  <c:v>55.3</c:v>
                </c:pt>
                <c:pt idx="2">
                  <c:v>68.3</c:v>
                </c:pt>
                <c:pt idx="3">
                  <c:v>25.6</c:v>
                </c:pt>
                <c:pt idx="4">
                  <c:v>21.2</c:v>
                </c:pt>
                <c:pt idx="9">
                  <c:v>25.099999999999998</c:v>
                </c:pt>
                <c:pt idx="10">
                  <c:v>27.3</c:v>
                </c:pt>
                <c:pt idx="12">
                  <c:v>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5A-47F1-AC29-6D1BF3978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199448"/>
        <c:axId val="100119584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S0_FT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FF0000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31204618573128901"/>
                        <c:y val="0.13602540498761706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/>
                              </a:solidFill>
                              <a:latin typeface="Times New Roman" panose="02020603050405020304" pitchFamily="18" charset="0"/>
                              <a:ea typeface="+mn-ea"/>
                              <a:cs typeface="Times New Roman" panose="02020603050405020304" pitchFamily="18" charset="0"/>
                            </a:defRPr>
                          </a:pPr>
                          <a:r>
                            <a:rPr lang="en-US" baseline="0"/>
                            <a:t>S0_FT</a:t>
                          </a:r>
                        </a:p>
                        <a:p>
                          <a:pPr>
                            <a:defRPr/>
                          </a:pPr>
                          <a:r>
                            <a:rPr lang="en-US" baseline="0"/>
                            <a:t>y = 2.7578x + 196.43</a:t>
                          </a:r>
                          <a:br>
                            <a:rPr lang="en-US" baseline="0"/>
                          </a:br>
                          <a:r>
                            <a:rPr lang="en-US" baseline="0"/>
                            <a:t>R² = 0.9931</a:t>
                          </a:r>
                          <a:endParaRPr lang="en-US"/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'TOC-IC-pH'!$F$97:$F$105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9"/>
                      <c:pt idx="0">
                        <c:v>308.80672316616392</c:v>
                      </c:pt>
                      <c:pt idx="1">
                        <c:v>293.08817692958263</c:v>
                      </c:pt>
                      <c:pt idx="2">
                        <c:v>258.07551818558392</c:v>
                      </c:pt>
                      <c:pt idx="3">
                        <c:v>263.51435279956888</c:v>
                      </c:pt>
                      <c:pt idx="4">
                        <c:v>221.24366403911438</c:v>
                      </c:pt>
                      <c:pt idx="5">
                        <c:v>296.26256897173477</c:v>
                      </c:pt>
                      <c:pt idx="6">
                        <c:v>294.12770066675904</c:v>
                      </c:pt>
                      <c:pt idx="7">
                        <c:v>341.73103603818197</c:v>
                      </c:pt>
                      <c:pt idx="8">
                        <c:v>247.31281474179525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'TOC-IC-pH'!$U$97:$U$105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9"/>
                      <c:pt idx="0">
                        <c:v>1030</c:v>
                      </c:pt>
                      <c:pt idx="1">
                        <c:v>1010</c:v>
                      </c:pt>
                      <c:pt idx="4">
                        <c:v>810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8EA-4BF0-9C52-DE33D1B688CD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v>S1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9"/>
                  <c:spPr>
                    <a:solidFill>
                      <a:srgbClr val="FFC000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20871162641287389"/>
                        <c:y val="2.5502941969938943E-2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/>
                              </a:solidFill>
                              <a:latin typeface="Times New Roman" panose="02020603050405020304" pitchFamily="18" charset="0"/>
                              <a:ea typeface="+mn-ea"/>
                              <a:cs typeface="Times New Roman" panose="02020603050405020304" pitchFamily="18" charset="0"/>
                            </a:defRPr>
                          </a:pPr>
                          <a:r>
                            <a:rPr lang="en-US" baseline="0"/>
                            <a:t>S1</a:t>
                          </a:r>
                        </a:p>
                        <a:p>
                          <a:pPr>
                            <a:defRPr/>
                          </a:pPr>
                          <a:r>
                            <a:rPr lang="en-US" baseline="0"/>
                            <a:t>y = 3.2049x + 158.88</a:t>
                          </a:r>
                          <a:br>
                            <a:rPr lang="en-US" baseline="0"/>
                          </a:br>
                          <a:r>
                            <a:rPr lang="en-US" baseline="0"/>
                            <a:t>R² = 0.9782</a:t>
                          </a:r>
                          <a:endParaRPr lang="en-US"/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'TOC-IC-pH'!$AH$62:$AH$105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44"/>
                      <c:pt idx="0">
                        <c:v>525.5301006853573</c:v>
                      </c:pt>
                      <c:pt idx="1">
                        <c:v>360.78009045712918</c:v>
                      </c:pt>
                      <c:pt idx="2">
                        <c:v>329.48049839845748</c:v>
                      </c:pt>
                      <c:pt idx="3">
                        <c:v>273.15704895275934</c:v>
                      </c:pt>
                      <c:pt idx="5">
                        <c:v>162.07178726021678</c:v>
                      </c:pt>
                      <c:pt idx="6">
                        <c:v>15.556408826622771</c:v>
                      </c:pt>
                      <c:pt idx="7">
                        <c:v>360.18508982908929</c:v>
                      </c:pt>
                      <c:pt idx="8">
                        <c:v>77.851731275775137</c:v>
                      </c:pt>
                      <c:pt idx="9">
                        <c:v>14.802085345552371</c:v>
                      </c:pt>
                      <c:pt idx="10">
                        <c:v>409.78798740705702</c:v>
                      </c:pt>
                      <c:pt idx="11">
                        <c:v>-31.185780304587695</c:v>
                      </c:pt>
                      <c:pt idx="12">
                        <c:v>473.5973767696824</c:v>
                      </c:pt>
                      <c:pt idx="13">
                        <c:v>101.48285933032497</c:v>
                      </c:pt>
                      <c:pt idx="14">
                        <c:v>197.03145377139177</c:v>
                      </c:pt>
                      <c:pt idx="15">
                        <c:v>61.298724515861835</c:v>
                      </c:pt>
                      <c:pt idx="16">
                        <c:v>70.893065150718314</c:v>
                      </c:pt>
                      <c:pt idx="17">
                        <c:v>-27.206500934756718</c:v>
                      </c:pt>
                      <c:pt idx="18">
                        <c:v>667.52531661855949</c:v>
                      </c:pt>
                      <c:pt idx="19">
                        <c:v>-22.334037803965373</c:v>
                      </c:pt>
                      <c:pt idx="20">
                        <c:v>78.64032451497917</c:v>
                      </c:pt>
                      <c:pt idx="21">
                        <c:v>-27.914916039934383</c:v>
                      </c:pt>
                      <c:pt idx="22">
                        <c:v>-19.104755133352285</c:v>
                      </c:pt>
                      <c:pt idx="23">
                        <c:v>270.51100450925554</c:v>
                      </c:pt>
                      <c:pt idx="34">
                        <c:v>-27.914916039934383</c:v>
                      </c:pt>
                      <c:pt idx="36">
                        <c:v>68.583340429456854</c:v>
                      </c:pt>
                      <c:pt idx="37">
                        <c:v>66.484359072468209</c:v>
                      </c:pt>
                      <c:pt idx="38">
                        <c:v>20.836348743045917</c:v>
                      </c:pt>
                      <c:pt idx="39">
                        <c:v>25.187319686970923</c:v>
                      </c:pt>
                      <c:pt idx="40">
                        <c:v>12.474401599464315</c:v>
                      </c:pt>
                      <c:pt idx="41">
                        <c:v>39.572652809347545</c:v>
                      </c:pt>
                      <c:pt idx="42">
                        <c:v>-16.408552437319827</c:v>
                      </c:pt>
                      <c:pt idx="43">
                        <c:v>4.4751792825455539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'TOC-IC-pH'!$AT$62:$AT$105</c15:sqref>
                        </c15:formulaRef>
                      </c:ext>
                    </c:extLst>
                    <c:numCache>
                      <c:formatCode>_-* #\ ##0.0_-;\-* #\ ##0.0_-;_-* "-"??_-;_-@_-</c:formatCode>
                      <c:ptCount val="44"/>
                      <c:pt idx="0">
                        <c:v>1820</c:v>
                      </c:pt>
                      <c:pt idx="3">
                        <c:v>1050</c:v>
                      </c:pt>
                      <c:pt idx="5">
                        <c:v>630</c:v>
                      </c:pt>
                      <c:pt idx="6">
                        <c:v>220</c:v>
                      </c:pt>
                      <c:pt idx="7">
                        <c:v>1300</c:v>
                      </c:pt>
                      <c:pt idx="8">
                        <c:v>520</c:v>
                      </c:pt>
                      <c:pt idx="9">
                        <c:v>300</c:v>
                      </c:pt>
                      <c:pt idx="11">
                        <c:v>130</c:v>
                      </c:pt>
                      <c:pt idx="13">
                        <c:v>590</c:v>
                      </c:pt>
                      <c:pt idx="14">
                        <c:v>740</c:v>
                      </c:pt>
                      <c:pt idx="15">
                        <c:v>360</c:v>
                      </c:pt>
                      <c:pt idx="17">
                        <c:v>110</c:v>
                      </c:pt>
                      <c:pt idx="19">
                        <c:v>60</c:v>
                      </c:pt>
                      <c:pt idx="20">
                        <c:v>290</c:v>
                      </c:pt>
                      <c:pt idx="21">
                        <c:v>30</c:v>
                      </c:pt>
                      <c:pt idx="22">
                        <c:v>70</c:v>
                      </c:pt>
                      <c:pt idx="23">
                        <c:v>1150</c:v>
                      </c:pt>
                      <c:pt idx="34">
                        <c:v>30</c:v>
                      </c:pt>
                      <c:pt idx="36">
                        <c:v>300</c:v>
                      </c:pt>
                      <c:pt idx="37">
                        <c:v>255</c:v>
                      </c:pt>
                      <c:pt idx="38">
                        <c:v>220</c:v>
                      </c:pt>
                      <c:pt idx="39">
                        <c:v>215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81-4845-B424-C0D9263582DF}"/>
                  </c:ext>
                </c:extLst>
              </c15:ser>
            </c15:filteredScatterSeries>
          </c:ext>
        </c:extLst>
      </c:scatterChart>
      <c:valAx>
        <c:axId val="1001199448"/>
        <c:scaling>
          <c:orientation val="minMax"/>
          <c:max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i-FI" b="1"/>
                  <a:t>TOC,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1195840"/>
        <c:crosses val="autoZero"/>
        <c:crossBetween val="midCat"/>
      </c:valAx>
      <c:valAx>
        <c:axId val="10011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i-FI" b="1"/>
                  <a:t>COD,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119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65279381859615193"/>
          <c:y val="4.3466029774480344E-2"/>
          <c:w val="6.4088347053372116E-2"/>
          <c:h val="0.1969570203101428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'TOC-IC-pH'!$B$96:$B$153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</c:numCache>
            </c:numRef>
          </c:xVal>
          <c:yVal>
            <c:numRef>
              <c:f>'TOC-IC-pH'!$M$96:$M$153</c:f>
              <c:numCache>
                <c:formatCode>_(* #,##0.00_);_(* \(#,##0.00\);_(* "-"??_);_(@_)</c:formatCode>
                <c:ptCount val="58"/>
                <c:pt idx="0">
                  <c:v>64.815200000000004</c:v>
                </c:pt>
                <c:pt idx="1">
                  <c:v>46.006399999999999</c:v>
                </c:pt>
                <c:pt idx="2">
                  <c:v>44.084499999999998</c:v>
                </c:pt>
                <c:pt idx="10">
                  <c:v>61.579500000000003</c:v>
                </c:pt>
                <c:pt idx="11">
                  <c:v>37.150500000000001</c:v>
                </c:pt>
                <c:pt idx="12">
                  <c:v>42.204000000000001</c:v>
                </c:pt>
                <c:pt idx="13">
                  <c:v>42.279800000000002</c:v>
                </c:pt>
                <c:pt idx="14">
                  <c:v>109.8323</c:v>
                </c:pt>
                <c:pt idx="15">
                  <c:v>85.025199999999998</c:v>
                </c:pt>
                <c:pt idx="16">
                  <c:v>52.746000000000002</c:v>
                </c:pt>
                <c:pt idx="20">
                  <c:v>31.817799999999998</c:v>
                </c:pt>
                <c:pt idx="21">
                  <c:v>39.987299999999998</c:v>
                </c:pt>
                <c:pt idx="22">
                  <c:v>41.259</c:v>
                </c:pt>
                <c:pt idx="23">
                  <c:v>45.384399999999999</c:v>
                </c:pt>
                <c:pt idx="24">
                  <c:v>48.563600000000001</c:v>
                </c:pt>
                <c:pt idx="25">
                  <c:v>43.698700000000002</c:v>
                </c:pt>
                <c:pt idx="26">
                  <c:v>38.743299999999998</c:v>
                </c:pt>
                <c:pt idx="28">
                  <c:v>64.465699999999998</c:v>
                </c:pt>
                <c:pt idx="29">
                  <c:v>40.473500000000001</c:v>
                </c:pt>
                <c:pt idx="30">
                  <c:v>14.006500000000001</c:v>
                </c:pt>
                <c:pt idx="31">
                  <c:v>15.785500000000001</c:v>
                </c:pt>
                <c:pt idx="32">
                  <c:v>7.7572999999999999</c:v>
                </c:pt>
                <c:pt idx="33">
                  <c:v>13.064399999999999</c:v>
                </c:pt>
                <c:pt idx="34">
                  <c:v>32.097000000000001</c:v>
                </c:pt>
                <c:pt idx="35">
                  <c:v>36.965499999999999</c:v>
                </c:pt>
                <c:pt idx="36">
                  <c:v>46.222000000000001</c:v>
                </c:pt>
                <c:pt idx="37">
                  <c:v>26.312799999999999</c:v>
                </c:pt>
                <c:pt idx="38">
                  <c:v>24.623699999999999</c:v>
                </c:pt>
                <c:pt idx="39">
                  <c:v>24.232900000000001</c:v>
                </c:pt>
                <c:pt idx="40">
                  <c:v>16.553799999999999</c:v>
                </c:pt>
                <c:pt idx="41">
                  <c:v>30.3886</c:v>
                </c:pt>
                <c:pt idx="42">
                  <c:v>32.6509</c:v>
                </c:pt>
                <c:pt idx="43">
                  <c:v>33.216500000000003</c:v>
                </c:pt>
                <c:pt idx="44">
                  <c:v>37.921999999999997</c:v>
                </c:pt>
                <c:pt idx="45">
                  <c:v>75.22</c:v>
                </c:pt>
                <c:pt idx="46">
                  <c:v>59.666800000000002</c:v>
                </c:pt>
                <c:pt idx="47">
                  <c:v>28.105699999999999</c:v>
                </c:pt>
                <c:pt idx="48">
                  <c:v>24.707599999999999</c:v>
                </c:pt>
                <c:pt idx="49">
                  <c:v>58.186599999999999</c:v>
                </c:pt>
                <c:pt idx="50">
                  <c:v>28.871700000000001</c:v>
                </c:pt>
                <c:pt idx="51">
                  <c:v>29.5106</c:v>
                </c:pt>
                <c:pt idx="52">
                  <c:v>28.4391</c:v>
                </c:pt>
                <c:pt idx="53">
                  <c:v>28.939399999999999</c:v>
                </c:pt>
                <c:pt idx="54">
                  <c:v>28.894400000000001</c:v>
                </c:pt>
                <c:pt idx="55">
                  <c:v>39.8035</c:v>
                </c:pt>
                <c:pt idx="56">
                  <c:v>32.551299999999998</c:v>
                </c:pt>
                <c:pt idx="57">
                  <c:v>22.8779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7-42FE-BD55-C37A3A4D026E}"/>
            </c:ext>
          </c:extLst>
        </c:ser>
        <c:ser>
          <c:idx val="2"/>
          <c:order val="1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'TOC-IC-pH'!$B$96:$B$153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</c:numCache>
            </c:numRef>
          </c:xVal>
          <c:yVal>
            <c:numRef>
              <c:f>'TOC-IC-pH'!$BN$96:$BN$153</c:f>
              <c:numCache>
                <c:formatCode>_(* #,##0.00_);_(* \(#,##0.00\);_(* "-"??_);_(@_)</c:formatCode>
                <c:ptCount val="58"/>
                <c:pt idx="0">
                  <c:v>0.19500000000000001</c:v>
                </c:pt>
                <c:pt idx="1">
                  <c:v>2.5771000000000002</c:v>
                </c:pt>
                <c:pt idx="2">
                  <c:v>3.5497000000000001</c:v>
                </c:pt>
                <c:pt idx="10">
                  <c:v>3.5333999999999999</c:v>
                </c:pt>
                <c:pt idx="11">
                  <c:v>2.4262000000000001</c:v>
                </c:pt>
                <c:pt idx="12">
                  <c:v>0.51680000000000004</c:v>
                </c:pt>
                <c:pt idx="13">
                  <c:v>4.0290999999999997</c:v>
                </c:pt>
                <c:pt idx="14">
                  <c:v>13.3728</c:v>
                </c:pt>
                <c:pt idx="15">
                  <c:v>24.831600000000002</c:v>
                </c:pt>
                <c:pt idx="16">
                  <c:v>13.4733</c:v>
                </c:pt>
                <c:pt idx="20">
                  <c:v>8.8193000000000001</c:v>
                </c:pt>
                <c:pt idx="21">
                  <c:v>2.1086999999999998</c:v>
                </c:pt>
                <c:pt idx="22">
                  <c:v>1.7430000000000001</c:v>
                </c:pt>
                <c:pt idx="23">
                  <c:v>1.9128000000000001</c:v>
                </c:pt>
                <c:pt idx="24">
                  <c:v>3.9571999999999998</c:v>
                </c:pt>
                <c:pt idx="25">
                  <c:v>3.2646000000000002</c:v>
                </c:pt>
                <c:pt idx="26">
                  <c:v>3.6040999999999999</c:v>
                </c:pt>
                <c:pt idx="27">
                  <c:v>4.0190999999999999</c:v>
                </c:pt>
                <c:pt idx="28">
                  <c:v>1.9923</c:v>
                </c:pt>
                <c:pt idx="29">
                  <c:v>4.2827000000000002</c:v>
                </c:pt>
                <c:pt idx="30">
                  <c:v>2.4674</c:v>
                </c:pt>
                <c:pt idx="32">
                  <c:v>0.82520000000000004</c:v>
                </c:pt>
                <c:pt idx="33">
                  <c:v>2.0569000000000002</c:v>
                </c:pt>
                <c:pt idx="34">
                  <c:v>1.3479000000000001</c:v>
                </c:pt>
                <c:pt idx="35">
                  <c:v>1.2204999999999999</c:v>
                </c:pt>
                <c:pt idx="36">
                  <c:v>3.117</c:v>
                </c:pt>
                <c:pt idx="37">
                  <c:v>1.8266</c:v>
                </c:pt>
                <c:pt idx="38">
                  <c:v>1.0455000000000001</c:v>
                </c:pt>
                <c:pt idx="40">
                  <c:v>0.77300000000000002</c:v>
                </c:pt>
                <c:pt idx="41">
                  <c:v>2.1671999999999998</c:v>
                </c:pt>
                <c:pt idx="42">
                  <c:v>0.55840000000000001</c:v>
                </c:pt>
                <c:pt idx="43">
                  <c:v>1.8569</c:v>
                </c:pt>
                <c:pt idx="44">
                  <c:v>9.3218999999999994</c:v>
                </c:pt>
                <c:pt idx="45">
                  <c:v>13.289199999999999</c:v>
                </c:pt>
                <c:pt idx="46">
                  <c:v>11.9391</c:v>
                </c:pt>
                <c:pt idx="47">
                  <c:v>4.5023999999999997</c:v>
                </c:pt>
                <c:pt idx="48">
                  <c:v>1.7472000000000001</c:v>
                </c:pt>
                <c:pt idx="49">
                  <c:v>4.4734999999999996</c:v>
                </c:pt>
                <c:pt idx="50">
                  <c:v>3.9963000000000002</c:v>
                </c:pt>
                <c:pt idx="51">
                  <c:v>9.7559000000000005</c:v>
                </c:pt>
                <c:pt idx="52">
                  <c:v>2.3610000000000002</c:v>
                </c:pt>
                <c:pt idx="53">
                  <c:v>4.5964999999999998</c:v>
                </c:pt>
                <c:pt idx="54">
                  <c:v>0.53059999999999996</c:v>
                </c:pt>
                <c:pt idx="55">
                  <c:v>0.56530000000000002</c:v>
                </c:pt>
                <c:pt idx="56">
                  <c:v>0.58850000000000002</c:v>
                </c:pt>
                <c:pt idx="57">
                  <c:v>2.5773999999999999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7-42FE-BD55-C37A3A4D026E}"/>
            </c:ext>
          </c:extLst>
        </c:ser>
        <c:ser>
          <c:idx val="1"/>
          <c:order val="2"/>
          <c:tx>
            <c:v>S4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'TOC-IC-pH'!$B$96:$B$153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</c:numCache>
            </c:numRef>
          </c:xVal>
          <c:yVal>
            <c:numRef>
              <c:f>'TOC-IC-pH'!$DM$96:$DM$153</c:f>
              <c:numCache>
                <c:formatCode>_(* #,##0.00_);_(* \(#,##0.00\);_(* "-"??_);_(@_)</c:formatCode>
                <c:ptCount val="58"/>
                <c:pt idx="20">
                  <c:v>104.5123</c:v>
                </c:pt>
                <c:pt idx="21">
                  <c:v>96.627099999999999</c:v>
                </c:pt>
                <c:pt idx="22">
                  <c:v>95.145799999999994</c:v>
                </c:pt>
                <c:pt idx="23">
                  <c:v>83.599100000000007</c:v>
                </c:pt>
                <c:pt idx="24">
                  <c:v>120.47799999999999</c:v>
                </c:pt>
                <c:pt idx="25">
                  <c:v>90.288600000000002</c:v>
                </c:pt>
                <c:pt idx="26">
                  <c:v>39.600900000000003</c:v>
                </c:pt>
                <c:pt idx="27">
                  <c:v>33.985300000000002</c:v>
                </c:pt>
                <c:pt idx="28">
                  <c:v>48.625</c:v>
                </c:pt>
                <c:pt idx="29">
                  <c:v>63.879300000000001</c:v>
                </c:pt>
                <c:pt idx="30">
                  <c:v>41.719299999999997</c:v>
                </c:pt>
                <c:pt idx="31">
                  <c:v>36.604399999999998</c:v>
                </c:pt>
                <c:pt idx="32">
                  <c:v>69.510800000000003</c:v>
                </c:pt>
                <c:pt idx="33">
                  <c:v>37.137999999999998</c:v>
                </c:pt>
                <c:pt idx="34">
                  <c:v>40.153100000000002</c:v>
                </c:pt>
                <c:pt idx="35">
                  <c:v>30.918700000000001</c:v>
                </c:pt>
                <c:pt idx="36">
                  <c:v>21.0961</c:v>
                </c:pt>
                <c:pt idx="37">
                  <c:v>31.089099999999998</c:v>
                </c:pt>
                <c:pt idx="38">
                  <c:v>30.2881</c:v>
                </c:pt>
                <c:pt idx="39">
                  <c:v>47.514200000000002</c:v>
                </c:pt>
                <c:pt idx="40">
                  <c:v>71.427099999999996</c:v>
                </c:pt>
                <c:pt idx="41">
                  <c:v>107.6476</c:v>
                </c:pt>
                <c:pt idx="43">
                  <c:v>78.876099999999994</c:v>
                </c:pt>
                <c:pt idx="44">
                  <c:v>47.061300000000003</c:v>
                </c:pt>
                <c:pt idx="45">
                  <c:v>40.309100000000001</c:v>
                </c:pt>
                <c:pt idx="46">
                  <c:v>72.137600000000006</c:v>
                </c:pt>
                <c:pt idx="47">
                  <c:v>74.643000000000001</c:v>
                </c:pt>
                <c:pt idx="48">
                  <c:v>63.380499999999998</c:v>
                </c:pt>
                <c:pt idx="49">
                  <c:v>48.890799999999999</c:v>
                </c:pt>
                <c:pt idx="50">
                  <c:v>57.747</c:v>
                </c:pt>
                <c:pt idx="51">
                  <c:v>60.960900000000002</c:v>
                </c:pt>
                <c:pt idx="52">
                  <c:v>21.972100000000001</c:v>
                </c:pt>
                <c:pt idx="53">
                  <c:v>24.366499999999998</c:v>
                </c:pt>
                <c:pt idx="54">
                  <c:v>21.668199999999999</c:v>
                </c:pt>
                <c:pt idx="55">
                  <c:v>24.467099999999999</c:v>
                </c:pt>
                <c:pt idx="56">
                  <c:v>26.605899999999998</c:v>
                </c:pt>
                <c:pt idx="57">
                  <c:v>30.2347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87-42FE-BD55-C37A3A4D0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</c:scatterChart>
      <c:scatterChart>
        <c:scatterStyle val="lineMarker"/>
        <c:varyColors val="0"/>
        <c:ser>
          <c:idx val="3"/>
          <c:order val="3"/>
          <c:tx>
            <c:v>Sugar added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16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087-42FE-BD55-C37A3A4D026E}"/>
            </c:ext>
          </c:extLst>
        </c:ser>
        <c:ser>
          <c:idx val="4"/>
          <c:order val="4"/>
          <c:tx>
            <c:v>Start MBR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42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087-42FE-BD55-C37A3A4D0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7888"/>
        <c:axId val="751273136"/>
        <c:extLst/>
      </c:scatterChart>
      <c:valAx>
        <c:axId val="602022776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  <c:majorUnit val="10"/>
        <c:minorUnit val="5"/>
      </c:valAx>
      <c:valAx>
        <c:axId val="60201785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SO4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valAx>
        <c:axId val="751273136"/>
        <c:scaling>
          <c:orientation val="minMax"/>
          <c:max val="100"/>
          <c:min val="0"/>
        </c:scaling>
        <c:delete val="1"/>
        <c:axPos val="r"/>
        <c:numFmt formatCode="_(* #,##0_);_(* \(#,##0\);_(* &quot;-&quot;_);_(@_)" sourceLinked="0"/>
        <c:majorTickMark val="out"/>
        <c:minorTickMark val="none"/>
        <c:tickLblPos val="nextTo"/>
        <c:crossAx val="751267888"/>
        <c:crosses val="max"/>
        <c:crossBetween val="midCat"/>
      </c:valAx>
      <c:valAx>
        <c:axId val="75126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27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7141299674829655"/>
          <c:y val="5.7753394345923789E-2"/>
          <c:w val="0.14944021731278814"/>
          <c:h val="0.1242945499660115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S2 (R² = 0.9537)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'TOC-IC-pH'!$B$96:$B$177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  <c:pt idx="58">
                  <c:v>138</c:v>
                </c:pt>
                <c:pt idx="59">
                  <c:v>141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152</c:v>
                </c:pt>
                <c:pt idx="64">
                  <c:v>154</c:v>
                </c:pt>
                <c:pt idx="65">
                  <c:v>156</c:v>
                </c:pt>
                <c:pt idx="66">
                  <c:v>159</c:v>
                </c:pt>
                <c:pt idx="67">
                  <c:v>170</c:v>
                </c:pt>
                <c:pt idx="68">
                  <c:v>174</c:v>
                </c:pt>
                <c:pt idx="69">
                  <c:v>177</c:v>
                </c:pt>
                <c:pt idx="70">
                  <c:v>181</c:v>
                </c:pt>
                <c:pt idx="71">
                  <c:v>184</c:v>
                </c:pt>
                <c:pt idx="72">
                  <c:v>187</c:v>
                </c:pt>
                <c:pt idx="73">
                  <c:v>190</c:v>
                </c:pt>
                <c:pt idx="74">
                  <c:v>193</c:v>
                </c:pt>
                <c:pt idx="75">
                  <c:v>196</c:v>
                </c:pt>
                <c:pt idx="76">
                  <c:v>197</c:v>
                </c:pt>
                <c:pt idx="77">
                  <c:v>198</c:v>
                </c:pt>
                <c:pt idx="78">
                  <c:v>199</c:v>
                </c:pt>
                <c:pt idx="79">
                  <c:v>200</c:v>
                </c:pt>
                <c:pt idx="80">
                  <c:v>201</c:v>
                </c:pt>
                <c:pt idx="81">
                  <c:v>202</c:v>
                </c:pt>
              </c:numCache>
            </c:numRef>
          </c:xVal>
          <c:yVal>
            <c:numRef>
              <c:f>'TOC-IC-pH'!$BX$96:$BX$177</c:f>
              <c:numCache>
                <c:formatCode>_(* #,##0.00_);_(* \(#,##0.00\);_(* "-"??_);_(@_)</c:formatCode>
                <c:ptCount val="82"/>
                <c:pt idx="2">
                  <c:v>356.90462367345049</c:v>
                </c:pt>
                <c:pt idx="3">
                  <c:v>389.29167003863063</c:v>
                </c:pt>
                <c:pt idx="4">
                  <c:v>264.94842687764339</c:v>
                </c:pt>
                <c:pt idx="5">
                  <c:v>250.01590093495395</c:v>
                </c:pt>
                <c:pt idx="6">
                  <c:v>233.16012148320539</c:v>
                </c:pt>
                <c:pt idx="7">
                  <c:v>308.60944689208691</c:v>
                </c:pt>
                <c:pt idx="8">
                  <c:v>137.29983941387636</c:v>
                </c:pt>
                <c:pt idx="9">
                  <c:v>185.52343717112748</c:v>
                </c:pt>
                <c:pt idx="10">
                  <c:v>84.611238193157902</c:v>
                </c:pt>
                <c:pt idx="11">
                  <c:v>107.17137051024245</c:v>
                </c:pt>
                <c:pt idx="12">
                  <c:v>101.29463446204528</c:v>
                </c:pt>
                <c:pt idx="13">
                  <c:v>82.246782545638496</c:v>
                </c:pt>
                <c:pt idx="14">
                  <c:v>49.883540109122791</c:v>
                </c:pt>
                <c:pt idx="15">
                  <c:v>76.425892715125045</c:v>
                </c:pt>
                <c:pt idx="16">
                  <c:v>79.066775562494996</c:v>
                </c:pt>
                <c:pt idx="17">
                  <c:v>149.91</c:v>
                </c:pt>
                <c:pt idx="18">
                  <c:v>149.91</c:v>
                </c:pt>
                <c:pt idx="19">
                  <c:v>121.45371357078332</c:v>
                </c:pt>
                <c:pt idx="21">
                  <c:v>127.12979522222993</c:v>
                </c:pt>
                <c:pt idx="22">
                  <c:v>166.35718265555278</c:v>
                </c:pt>
                <c:pt idx="23">
                  <c:v>216.6913935121953</c:v>
                </c:pt>
                <c:pt idx="24">
                  <c:v>162.60220345819795</c:v>
                </c:pt>
                <c:pt idx="25">
                  <c:v>195.52020116273385</c:v>
                </c:pt>
                <c:pt idx="26">
                  <c:v>132.45182563711938</c:v>
                </c:pt>
                <c:pt idx="27">
                  <c:v>111.1832654157823</c:v>
                </c:pt>
                <c:pt idx="28">
                  <c:v>159.91076228710352</c:v>
                </c:pt>
                <c:pt idx="29">
                  <c:v>150.82193830730671</c:v>
                </c:pt>
                <c:pt idx="30">
                  <c:v>135.02179561461654</c:v>
                </c:pt>
                <c:pt idx="31">
                  <c:v>324.55486722205148</c:v>
                </c:pt>
                <c:pt idx="32">
                  <c:v>175.61089057945944</c:v>
                </c:pt>
                <c:pt idx="33">
                  <c:v>114.65949480637907</c:v>
                </c:pt>
                <c:pt idx="34">
                  <c:v>119.0763564902804</c:v>
                </c:pt>
                <c:pt idx="35">
                  <c:v>139.11863199014218</c:v>
                </c:pt>
                <c:pt idx="36">
                  <c:v>135.24798060081233</c:v>
                </c:pt>
                <c:pt idx="37">
                  <c:v>135.67719307056328</c:v>
                </c:pt>
                <c:pt idx="38">
                  <c:v>227.31161324709888</c:v>
                </c:pt>
                <c:pt idx="39">
                  <c:v>240.61284335857226</c:v>
                </c:pt>
                <c:pt idx="40">
                  <c:v>102.92212852837729</c:v>
                </c:pt>
                <c:pt idx="41">
                  <c:v>166.52612540344475</c:v>
                </c:pt>
                <c:pt idx="42">
                  <c:v>123.01925679734781</c:v>
                </c:pt>
                <c:pt idx="43">
                  <c:v>159.75644573263887</c:v>
                </c:pt>
                <c:pt idx="44">
                  <c:v>204.22801677816912</c:v>
                </c:pt>
                <c:pt idx="45">
                  <c:v>207.84228116354046</c:v>
                </c:pt>
                <c:pt idx="46">
                  <c:v>317.95529116380317</c:v>
                </c:pt>
                <c:pt idx="47">
                  <c:v>123.67041078343932</c:v>
                </c:pt>
                <c:pt idx="48">
                  <c:v>118.24297215713867</c:v>
                </c:pt>
                <c:pt idx="49">
                  <c:v>132.85122111673786</c:v>
                </c:pt>
                <c:pt idx="50">
                  <c:v>139.27694432639183</c:v>
                </c:pt>
                <c:pt idx="51">
                  <c:v>295.9711618023502</c:v>
                </c:pt>
                <c:pt idx="52">
                  <c:v>226.34848365156628</c:v>
                </c:pt>
                <c:pt idx="53">
                  <c:v>134.15557020334282</c:v>
                </c:pt>
                <c:pt idx="54">
                  <c:v>198.49840710746929</c:v>
                </c:pt>
                <c:pt idx="55">
                  <c:v>218.55358129127831</c:v>
                </c:pt>
                <c:pt idx="56">
                  <c:v>210.38027394212187</c:v>
                </c:pt>
                <c:pt idx="57">
                  <c:v>200.48271535946287</c:v>
                </c:pt>
                <c:pt idx="58">
                  <c:v>214.98291185566973</c:v>
                </c:pt>
                <c:pt idx="59">
                  <c:v>210.76698510180739</c:v>
                </c:pt>
                <c:pt idx="60">
                  <c:v>236.6268170133427</c:v>
                </c:pt>
                <c:pt idx="61">
                  <c:v>506.65498034683287</c:v>
                </c:pt>
                <c:pt idx="62">
                  <c:v>365.39030297075016</c:v>
                </c:pt>
                <c:pt idx="63">
                  <c:v>287.17193996217713</c:v>
                </c:pt>
                <c:pt idx="64">
                  <c:v>251.10856889841284</c:v>
                </c:pt>
                <c:pt idx="65">
                  <c:v>210.37215022091306</c:v>
                </c:pt>
                <c:pt idx="66">
                  <c:v>218.67931056652552</c:v>
                </c:pt>
                <c:pt idx="67">
                  <c:v>194.27674680854562</c:v>
                </c:pt>
                <c:pt idx="68">
                  <c:v>203.45204628817788</c:v>
                </c:pt>
                <c:pt idx="69">
                  <c:v>227.85378064935773</c:v>
                </c:pt>
                <c:pt idx="70">
                  <c:v>269.68899247350407</c:v>
                </c:pt>
                <c:pt idx="71">
                  <c:v>188.20587959181196</c:v>
                </c:pt>
                <c:pt idx="72">
                  <c:v>166.43279673949053</c:v>
                </c:pt>
                <c:pt idx="73">
                  <c:v>197.00555463469144</c:v>
                </c:pt>
                <c:pt idx="74">
                  <c:v>192.120758673491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7A-45E1-A9B9-9D2DAED25AFF}"/>
            </c:ext>
          </c:extLst>
        </c:ser>
        <c:ser>
          <c:idx val="6"/>
          <c:order val="1"/>
          <c:tx>
            <c:v>S4 (R² = 0.8556)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'TOC-IC-pH'!$B$96:$B$177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  <c:pt idx="58">
                  <c:v>138</c:v>
                </c:pt>
                <c:pt idx="59">
                  <c:v>141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152</c:v>
                </c:pt>
                <c:pt idx="64">
                  <c:v>154</c:v>
                </c:pt>
                <c:pt idx="65">
                  <c:v>156</c:v>
                </c:pt>
                <c:pt idx="66">
                  <c:v>159</c:v>
                </c:pt>
                <c:pt idx="67">
                  <c:v>170</c:v>
                </c:pt>
                <c:pt idx="68">
                  <c:v>174</c:v>
                </c:pt>
                <c:pt idx="69">
                  <c:v>177</c:v>
                </c:pt>
                <c:pt idx="70">
                  <c:v>181</c:v>
                </c:pt>
                <c:pt idx="71">
                  <c:v>184</c:v>
                </c:pt>
                <c:pt idx="72">
                  <c:v>187</c:v>
                </c:pt>
                <c:pt idx="73">
                  <c:v>190</c:v>
                </c:pt>
                <c:pt idx="74">
                  <c:v>193</c:v>
                </c:pt>
                <c:pt idx="75">
                  <c:v>196</c:v>
                </c:pt>
                <c:pt idx="76">
                  <c:v>197</c:v>
                </c:pt>
                <c:pt idx="77">
                  <c:v>198</c:v>
                </c:pt>
                <c:pt idx="78">
                  <c:v>199</c:v>
                </c:pt>
                <c:pt idx="79">
                  <c:v>200</c:v>
                </c:pt>
                <c:pt idx="80">
                  <c:v>201</c:v>
                </c:pt>
                <c:pt idx="81">
                  <c:v>202</c:v>
                </c:pt>
              </c:numCache>
            </c:numRef>
          </c:xVal>
          <c:yVal>
            <c:numRef>
              <c:f>'TOC-IC-pH'!$DV$96:$DV$177</c:f>
              <c:numCache>
                <c:formatCode>_(* #,##0.00_);_(* \(#,##0.00\);_(* "-"??_);_(@_)</c:formatCode>
                <c:ptCount val="82"/>
                <c:pt idx="19">
                  <c:v>48.041345539557916</c:v>
                </c:pt>
                <c:pt idx="20">
                  <c:v>64.0672961276656</c:v>
                </c:pt>
                <c:pt idx="21">
                  <c:v>58.86766691052518</c:v>
                </c:pt>
                <c:pt idx="22">
                  <c:v>83.388134733425602</c:v>
                </c:pt>
                <c:pt idx="23">
                  <c:v>62.25441801227884</c:v>
                </c:pt>
                <c:pt idx="24">
                  <c:v>68.259046231203001</c:v>
                </c:pt>
                <c:pt idx="25">
                  <c:v>59.651331754509805</c:v>
                </c:pt>
                <c:pt idx="26">
                  <c:v>47.392085848731206</c:v>
                </c:pt>
                <c:pt idx="27">
                  <c:v>36.666661446560141</c:v>
                </c:pt>
                <c:pt idx="28">
                  <c:v>44.54160244757378</c:v>
                </c:pt>
                <c:pt idx="29">
                  <c:v>39.960696512113614</c:v>
                </c:pt>
                <c:pt idx="30">
                  <c:v>31.666144632877234</c:v>
                </c:pt>
                <c:pt idx="31">
                  <c:v>151.1247489923739</c:v>
                </c:pt>
                <c:pt idx="32">
                  <c:v>28.511580268873473</c:v>
                </c:pt>
                <c:pt idx="33">
                  <c:v>31.187287554694656</c:v>
                </c:pt>
                <c:pt idx="34">
                  <c:v>36.288649564783</c:v>
                </c:pt>
                <c:pt idx="35">
                  <c:v>40.172227295771037</c:v>
                </c:pt>
                <c:pt idx="36">
                  <c:v>28.988323136393049</c:v>
                </c:pt>
                <c:pt idx="37">
                  <c:v>27.866706615143727</c:v>
                </c:pt>
                <c:pt idx="38">
                  <c:v>35.041357286378648</c:v>
                </c:pt>
                <c:pt idx="39">
                  <c:v>48.071753371249265</c:v>
                </c:pt>
                <c:pt idx="40">
                  <c:v>65.826732240909365</c:v>
                </c:pt>
                <c:pt idx="41">
                  <c:v>40.209827728997496</c:v>
                </c:pt>
                <c:pt idx="43">
                  <c:v>64.643159830867035</c:v>
                </c:pt>
                <c:pt idx="44">
                  <c:v>17.706386271950649</c:v>
                </c:pt>
                <c:pt idx="45">
                  <c:v>32.138060761171005</c:v>
                </c:pt>
                <c:pt idx="46">
                  <c:v>13.877104216136956</c:v>
                </c:pt>
                <c:pt idx="47">
                  <c:v>4.6304246133657436</c:v>
                </c:pt>
                <c:pt idx="48">
                  <c:v>10.991780331507108</c:v>
                </c:pt>
                <c:pt idx="49">
                  <c:v>42.847864810984596</c:v>
                </c:pt>
                <c:pt idx="50">
                  <c:v>38.940319445734772</c:v>
                </c:pt>
                <c:pt idx="51">
                  <c:v>30.020376425938188</c:v>
                </c:pt>
                <c:pt idx="52">
                  <c:v>24.08767006390601</c:v>
                </c:pt>
                <c:pt idx="53">
                  <c:v>26.994003787655458</c:v>
                </c:pt>
                <c:pt idx="54">
                  <c:v>25.20519763374363</c:v>
                </c:pt>
                <c:pt idx="55">
                  <c:v>17.033432077751385</c:v>
                </c:pt>
                <c:pt idx="56">
                  <c:v>18.410728973977299</c:v>
                </c:pt>
                <c:pt idx="57">
                  <c:v>16.068754470696824</c:v>
                </c:pt>
                <c:pt idx="58">
                  <c:v>10.174322749442464</c:v>
                </c:pt>
                <c:pt idx="59">
                  <c:v>11.40655744341116</c:v>
                </c:pt>
                <c:pt idx="60">
                  <c:v>21.626801318020156</c:v>
                </c:pt>
                <c:pt idx="61">
                  <c:v>11.22866178940836</c:v>
                </c:pt>
                <c:pt idx="62">
                  <c:v>47.670349118589463</c:v>
                </c:pt>
                <c:pt idx="63">
                  <c:v>33.837069289554805</c:v>
                </c:pt>
                <c:pt idx="64">
                  <c:v>31.005654448151489</c:v>
                </c:pt>
                <c:pt idx="65">
                  <c:v>27.27733470309542</c:v>
                </c:pt>
                <c:pt idx="66">
                  <c:v>22.08397393838009</c:v>
                </c:pt>
                <c:pt idx="67">
                  <c:v>16.726484649558635</c:v>
                </c:pt>
                <c:pt idx="68">
                  <c:v>12.339216755800322</c:v>
                </c:pt>
                <c:pt idx="69">
                  <c:v>16.313226194839089</c:v>
                </c:pt>
                <c:pt idx="70">
                  <c:v>14.497580224263764</c:v>
                </c:pt>
                <c:pt idx="71">
                  <c:v>21.163703462998015</c:v>
                </c:pt>
                <c:pt idx="72">
                  <c:v>108.49905576941782</c:v>
                </c:pt>
                <c:pt idx="73">
                  <c:v>18.023608310862791</c:v>
                </c:pt>
                <c:pt idx="74">
                  <c:v>13.647586066650959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7A-45E1-A9B9-9D2DAED25AFF}"/>
            </c:ext>
          </c:extLst>
        </c:ser>
        <c:ser>
          <c:idx val="0"/>
          <c:order val="6"/>
          <c:tx>
            <c:v>TOC/TN fixed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200"/>
            <c:spPr>
              <a:noFill/>
              <a:ln w="15875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127</c:v>
              </c:pt>
            </c:numLit>
          </c:xVal>
          <c:yVal>
            <c:numLit>
              <c:formatCode>General</c:formatCode>
              <c:ptCount val="1"/>
              <c:pt idx="0">
                <c:v>300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634-46EA-9CAB-A74A30C3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</c:scatterChart>
      <c:scatterChart>
        <c:scatterStyle val="lineMarker"/>
        <c:varyColors val="0"/>
        <c:ser>
          <c:idx val="3"/>
          <c:order val="2"/>
          <c:tx>
            <c:v>Removal MBR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'TOC-IC-pH'!$B$96:$B$177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  <c:pt idx="58">
                  <c:v>138</c:v>
                </c:pt>
                <c:pt idx="59">
                  <c:v>141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152</c:v>
                </c:pt>
                <c:pt idx="64">
                  <c:v>154</c:v>
                </c:pt>
                <c:pt idx="65">
                  <c:v>156</c:v>
                </c:pt>
                <c:pt idx="66">
                  <c:v>159</c:v>
                </c:pt>
                <c:pt idx="67">
                  <c:v>170</c:v>
                </c:pt>
                <c:pt idx="68">
                  <c:v>174</c:v>
                </c:pt>
                <c:pt idx="69">
                  <c:v>177</c:v>
                </c:pt>
                <c:pt idx="70">
                  <c:v>181</c:v>
                </c:pt>
                <c:pt idx="71">
                  <c:v>184</c:v>
                </c:pt>
                <c:pt idx="72">
                  <c:v>187</c:v>
                </c:pt>
                <c:pt idx="73">
                  <c:v>190</c:v>
                </c:pt>
                <c:pt idx="74">
                  <c:v>193</c:v>
                </c:pt>
                <c:pt idx="75">
                  <c:v>196</c:v>
                </c:pt>
                <c:pt idx="76">
                  <c:v>197</c:v>
                </c:pt>
                <c:pt idx="77">
                  <c:v>198</c:v>
                </c:pt>
                <c:pt idx="78">
                  <c:v>199</c:v>
                </c:pt>
                <c:pt idx="79">
                  <c:v>200</c:v>
                </c:pt>
                <c:pt idx="80">
                  <c:v>201</c:v>
                </c:pt>
                <c:pt idx="81">
                  <c:v>202</c:v>
                </c:pt>
              </c:numCache>
            </c:numRef>
          </c:xVal>
          <c:yVal>
            <c:numRef>
              <c:f>'TOC-IC-pH'!$EK$96:$EK$177</c:f>
              <c:numCache>
                <c:formatCode>_(* #,##0.00_);_(* \(#,##0.00\);_(* "-"??_);_(@_)</c:formatCode>
                <c:ptCount val="82"/>
                <c:pt idx="19">
                  <c:v>60.44472900241179</c:v>
                </c:pt>
                <c:pt idx="21">
                  <c:v>53.69483069832588</c:v>
                </c:pt>
                <c:pt idx="22">
                  <c:v>49.874040061087669</c:v>
                </c:pt>
                <c:pt idx="23">
                  <c:v>71.27047041267231</c:v>
                </c:pt>
                <c:pt idx="24">
                  <c:v>58.020835647069724</c:v>
                </c:pt>
                <c:pt idx="25">
                  <c:v>69.490962366154037</c:v>
                </c:pt>
                <c:pt idx="26">
                  <c:v>64.219378917001762</c:v>
                </c:pt>
                <c:pt idx="27">
                  <c:v>67.02142061627616</c:v>
                </c:pt>
                <c:pt idx="28">
                  <c:v>72.145963279442157</c:v>
                </c:pt>
                <c:pt idx="29">
                  <c:v>73.504718901906813</c:v>
                </c:pt>
                <c:pt idx="30">
                  <c:v>76.547382969739388</c:v>
                </c:pt>
                <c:pt idx="31">
                  <c:v>53.436301761273995</c:v>
                </c:pt>
                <c:pt idx="32">
                  <c:v>83.764343899860407</c:v>
                </c:pt>
                <c:pt idx="33">
                  <c:v>72.800082882486635</c:v>
                </c:pt>
                <c:pt idx="34">
                  <c:v>69.524890889867748</c:v>
                </c:pt>
                <c:pt idx="35">
                  <c:v>71.123761985657239</c:v>
                </c:pt>
                <c:pt idx="36">
                  <c:v>78.566539028813466</c:v>
                </c:pt>
                <c:pt idx="37">
                  <c:v>79.461023636706017</c:v>
                </c:pt>
                <c:pt idx="38">
                  <c:v>84.584440369842881</c:v>
                </c:pt>
                <c:pt idx="39">
                  <c:v>80.021119113907588</c:v>
                </c:pt>
                <c:pt idx="40">
                  <c:v>36.042196967623077</c:v>
                </c:pt>
                <c:pt idx="41">
                  <c:v>75.853742089068206</c:v>
                </c:pt>
                <c:pt idx="43">
                  <c:v>59.536430887395376</c:v>
                </c:pt>
                <c:pt idx="44">
                  <c:v>91.330089499334861</c:v>
                </c:pt>
                <c:pt idx="45">
                  <c:v>84.537284434497124</c:v>
                </c:pt>
                <c:pt idx="46">
                  <c:v>95.635517130303768</c:v>
                </c:pt>
                <c:pt idx="47">
                  <c:v>96.25583469478876</c:v>
                </c:pt>
                <c:pt idx="48">
                  <c:v>90.704073036239635</c:v>
                </c:pt>
                <c:pt idx="49">
                  <c:v>67.747481392486648</c:v>
                </c:pt>
                <c:pt idx="50">
                  <c:v>72.041087177731896</c:v>
                </c:pt>
                <c:pt idx="51">
                  <c:v>89.856992741074606</c:v>
                </c:pt>
                <c:pt idx="52">
                  <c:v>89.35814825206171</c:v>
                </c:pt>
                <c:pt idx="53">
                  <c:v>79.878581450818629</c:v>
                </c:pt>
                <c:pt idx="54">
                  <c:v>87.302065542471951</c:v>
                </c:pt>
                <c:pt idx="55">
                  <c:v>92.20629011105062</c:v>
                </c:pt>
                <c:pt idx="56">
                  <c:v>91.248833063577862</c:v>
                </c:pt>
                <c:pt idx="57">
                  <c:v>91.984967660735364</c:v>
                </c:pt>
                <c:pt idx="58">
                  <c:v>95.267380713368937</c:v>
                </c:pt>
                <c:pt idx="59">
                  <c:v>94.58807201806232</c:v>
                </c:pt>
                <c:pt idx="60">
                  <c:v>90.860376016974982</c:v>
                </c:pt>
                <c:pt idx="61">
                  <c:v>97.783765634412262</c:v>
                </c:pt>
                <c:pt idx="62">
                  <c:v>86.95358121684869</c:v>
                </c:pt>
                <c:pt idx="63">
                  <c:v>88.217139427337017</c:v>
                </c:pt>
                <c:pt idx="64">
                  <c:v>87.652490480842587</c:v>
                </c:pt>
                <c:pt idx="65">
                  <c:v>87.033771022233068</c:v>
                </c:pt>
                <c:pt idx="66">
                  <c:v>89.901205614208379</c:v>
                </c:pt>
                <c:pt idx="67">
                  <c:v>91.390382573143398</c:v>
                </c:pt>
                <c:pt idx="68">
                  <c:v>93.935073654495199</c:v>
                </c:pt>
                <c:pt idx="69">
                  <c:v>92.840484740543602</c:v>
                </c:pt>
                <c:pt idx="70">
                  <c:v>94.62433372185626</c:v>
                </c:pt>
                <c:pt idx="71">
                  <c:v>88.755025343045247</c:v>
                </c:pt>
                <c:pt idx="72">
                  <c:v>34.809089377229945</c:v>
                </c:pt>
                <c:pt idx="73">
                  <c:v>90.851218208398194</c:v>
                </c:pt>
                <c:pt idx="74">
                  <c:v>92.896350107671068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7A-45E1-A9B9-9D2DAED25AFF}"/>
            </c:ext>
          </c:extLst>
        </c:ser>
        <c:ser>
          <c:idx val="1"/>
          <c:order val="3"/>
          <c:tx>
            <c:v>No add sugar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'TOC-IC-pH'!$B$105</c:f>
              <c:numCache>
                <c:formatCode>0</c:formatCode>
                <c:ptCount val="1"/>
                <c:pt idx="0">
                  <c:v>16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A7A-45E1-A9B9-9D2DAED25AFF}"/>
            </c:ext>
          </c:extLst>
        </c:ser>
        <c:ser>
          <c:idx val="4"/>
          <c:order val="4"/>
          <c:tx>
            <c:v>Start MBR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'TOC-IC-pH'!$B$115</c:f>
              <c:numCache>
                <c:formatCode>0</c:formatCode>
                <c:ptCount val="1"/>
                <c:pt idx="0">
                  <c:v>42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A7A-45E1-A9B9-9D2DAED25AFF}"/>
            </c:ext>
          </c:extLst>
        </c:ser>
        <c:ser>
          <c:idx val="5"/>
          <c:order val="5"/>
          <c:tx>
            <c:v>sludges leaked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'TOC-IC-pH'!$B$127</c:f>
              <c:numCache>
                <c:formatCode>0</c:formatCode>
                <c:ptCount val="1"/>
                <c:pt idx="0">
                  <c:v>68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A7A-45E1-A9B9-9D2DAED25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7888"/>
        <c:axId val="751273136"/>
      </c:scatterChart>
      <c:valAx>
        <c:axId val="602022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  <c:majorUnit val="10"/>
        <c:minorUnit val="5"/>
      </c:valAx>
      <c:valAx>
        <c:axId val="602017856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COD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valAx>
        <c:axId val="751273136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Removal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267888"/>
        <c:crosses val="max"/>
        <c:crossBetween val="between"/>
        <c:majorUnit val="20"/>
      </c:valAx>
      <c:catAx>
        <c:axId val="7512678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5127313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54292317355246733"/>
          <c:y val="2.5510075977844399E-2"/>
          <c:w val="0.45707686270753584"/>
          <c:h val="4.9442214113776334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S0 (R² = 0.9931)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'TOC-IC-pH'!$B$96:$B$177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  <c:pt idx="58">
                  <c:v>138</c:v>
                </c:pt>
                <c:pt idx="59">
                  <c:v>141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152</c:v>
                </c:pt>
                <c:pt idx="64">
                  <c:v>154</c:v>
                </c:pt>
                <c:pt idx="65">
                  <c:v>156</c:v>
                </c:pt>
                <c:pt idx="66">
                  <c:v>159</c:v>
                </c:pt>
                <c:pt idx="67">
                  <c:v>170</c:v>
                </c:pt>
                <c:pt idx="68">
                  <c:v>174</c:v>
                </c:pt>
                <c:pt idx="69">
                  <c:v>177</c:v>
                </c:pt>
                <c:pt idx="70">
                  <c:v>181</c:v>
                </c:pt>
                <c:pt idx="71">
                  <c:v>184</c:v>
                </c:pt>
                <c:pt idx="72">
                  <c:v>187</c:v>
                </c:pt>
                <c:pt idx="73">
                  <c:v>190</c:v>
                </c:pt>
                <c:pt idx="74">
                  <c:v>193</c:v>
                </c:pt>
                <c:pt idx="75">
                  <c:v>196</c:v>
                </c:pt>
                <c:pt idx="76">
                  <c:v>197</c:v>
                </c:pt>
                <c:pt idx="77">
                  <c:v>198</c:v>
                </c:pt>
                <c:pt idx="78">
                  <c:v>199</c:v>
                </c:pt>
                <c:pt idx="79">
                  <c:v>200</c:v>
                </c:pt>
                <c:pt idx="80">
                  <c:v>201</c:v>
                </c:pt>
                <c:pt idx="81">
                  <c:v>202</c:v>
                </c:pt>
              </c:numCache>
            </c:numRef>
          </c:xVal>
          <c:yVal>
            <c:numRef>
              <c:f>'TOC-IC-pH'!$W$96:$W$177</c:f>
              <c:numCache>
                <c:formatCode>_(* #,##0.00_);_(* \(#,##0.00\);_(* "-"??_);_(@_)</c:formatCode>
                <c:ptCount val="82"/>
                <c:pt idx="0">
                  <c:v>147.82062931450781</c:v>
                </c:pt>
                <c:pt idx="1">
                  <c:v>1048.0571811476468</c:v>
                </c:pt>
                <c:pt idx="2">
                  <c:v>1004.708574336403</c:v>
                </c:pt>
                <c:pt idx="3">
                  <c:v>908.15066405220341</c:v>
                </c:pt>
                <c:pt idx="4">
                  <c:v>923.14988215065114</c:v>
                </c:pt>
                <c:pt idx="5">
                  <c:v>806.57577668706972</c:v>
                </c:pt>
                <c:pt idx="6">
                  <c:v>1013.4629127102501</c:v>
                </c:pt>
                <c:pt idx="7">
                  <c:v>1007.5753728987881</c:v>
                </c:pt>
                <c:pt idx="8">
                  <c:v>1138.8558511860983</c:v>
                </c:pt>
                <c:pt idx="9">
                  <c:v>878.46928049492294</c:v>
                </c:pt>
                <c:pt idx="10">
                  <c:v>250.66530276876045</c:v>
                </c:pt>
                <c:pt idx="11">
                  <c:v>253.85503293551062</c:v>
                </c:pt>
                <c:pt idx="12">
                  <c:v>202.26821312075745</c:v>
                </c:pt>
                <c:pt idx="13">
                  <c:v>352.45353563795857</c:v>
                </c:pt>
                <c:pt idx="14">
                  <c:v>166.17212460263559</c:v>
                </c:pt>
                <c:pt idx="15">
                  <c:v>346.82302514903307</c:v>
                </c:pt>
                <c:pt idx="16">
                  <c:v>92.351779550003982</c:v>
                </c:pt>
                <c:pt idx="17">
                  <c:v>648.31932878976397</c:v>
                </c:pt>
                <c:pt idx="18">
                  <c:v>302.52988853271813</c:v>
                </c:pt>
                <c:pt idx="19">
                  <c:v>292.09326728172863</c:v>
                </c:pt>
                <c:pt idx="20">
                  <c:v>190.15487608679422</c:v>
                </c:pt>
                <c:pt idx="21">
                  <c:v>1053.9527240866737</c:v>
                </c:pt>
                <c:pt idx="22">
                  <c:v>653.67943221845962</c:v>
                </c:pt>
                <c:pt idx="23">
                  <c:v>1225.9371979685013</c:v>
                </c:pt>
                <c:pt idx="24">
                  <c:v>374.7085220743835</c:v>
                </c:pt>
                <c:pt idx="25">
                  <c:v>659.55540562392423</c:v>
                </c:pt>
                <c:pt idx="26">
                  <c:v>191.43682797160875</c:v>
                </c:pt>
                <c:pt idx="27">
                  <c:v>359.94151428810517</c:v>
                </c:pt>
                <c:pt idx="28">
                  <c:v>369.25633618086624</c:v>
                </c:pt>
                <c:pt idx="29">
                  <c:v>1031.4922882783881</c:v>
                </c:pt>
                <c:pt idx="30">
                  <c:v>601.62080586639092</c:v>
                </c:pt>
                <c:pt idx="31">
                  <c:v>233.45572847583924</c:v>
                </c:pt>
                <c:pt idx="32">
                  <c:v>355.66290235220305</c:v>
                </c:pt>
                <c:pt idx="33">
                  <c:v>171.54507246195422</c:v>
                </c:pt>
                <c:pt idx="34">
                  <c:v>493.44791544381894</c:v>
                </c:pt>
                <c:pt idx="35">
                  <c:v>358.76773273411476</c:v>
                </c:pt>
                <c:pt idx="36">
                  <c:v>291.52943976626261</c:v>
                </c:pt>
                <c:pt idx="37">
                  <c:v>212.94119350692191</c:v>
                </c:pt>
                <c:pt idx="38">
                  <c:v>349.96896500686802</c:v>
                </c:pt>
                <c:pt idx="39">
                  <c:v>942.00048364312283</c:v>
                </c:pt>
                <c:pt idx="40">
                  <c:v>432.59096637930912</c:v>
                </c:pt>
                <c:pt idx="41">
                  <c:v>374.07841413334745</c:v>
                </c:pt>
                <c:pt idx="42">
                  <c:v>887.47089748780695</c:v>
                </c:pt>
                <c:pt idx="43">
                  <c:v>468.90087897982602</c:v>
                </c:pt>
                <c:pt idx="44">
                  <c:v>363.87343219003884</c:v>
                </c:pt>
                <c:pt idx="45">
                  <c:v>323.21465528085554</c:v>
                </c:pt>
                <c:pt idx="46">
                  <c:v>1305.1060085672077</c:v>
                </c:pt>
                <c:pt idx="47">
                  <c:v>278.09651199854341</c:v>
                </c:pt>
                <c:pt idx="48">
                  <c:v>618.39350407367283</c:v>
                </c:pt>
                <c:pt idx="49">
                  <c:v>542.67786867696691</c:v>
                </c:pt>
                <c:pt idx="50">
                  <c:v>255.34693869281173</c:v>
                </c:pt>
                <c:pt idx="51">
                  <c:v>912.86115314442713</c:v>
                </c:pt>
                <c:pt idx="52">
                  <c:v>832.15034474414745</c:v>
                </c:pt>
                <c:pt idx="53">
                  <c:v>262.40036197575637</c:v>
                </c:pt>
                <c:pt idx="54">
                  <c:v>781.95477344788969</c:v>
                </c:pt>
                <c:pt idx="55">
                  <c:v>578.48329848158789</c:v>
                </c:pt>
                <c:pt idx="56">
                  <c:v>526.07468354607886</c:v>
                </c:pt>
                <c:pt idx="57">
                  <c:v>521.37986510840756</c:v>
                </c:pt>
                <c:pt idx="58">
                  <c:v>443.70189457011571</c:v>
                </c:pt>
                <c:pt idx="59">
                  <c:v>452.46864767912803</c:v>
                </c:pt>
                <c:pt idx="60">
                  <c:v>376.37544792106638</c:v>
                </c:pt>
                <c:pt idx="61">
                  <c:v>514.67620278018762</c:v>
                </c:pt>
                <c:pt idx="62">
                  <c:v>469.13016323002915</c:v>
                </c:pt>
                <c:pt idx="63">
                  <c:v>226.01666673001739</c:v>
                </c:pt>
                <c:pt idx="64">
                  <c:v>389.62215077093458</c:v>
                </c:pt>
                <c:pt idx="65">
                  <c:v>414.57365063078703</c:v>
                </c:pt>
                <c:pt idx="66">
                  <c:v>794.25160118999156</c:v>
                </c:pt>
                <c:pt idx="67">
                  <c:v>564.52493649454766</c:v>
                </c:pt>
                <c:pt idx="68">
                  <c:v>528.40229518396416</c:v>
                </c:pt>
                <c:pt idx="69">
                  <c:v>748.97531376216648</c:v>
                </c:pt>
                <c:pt idx="70">
                  <c:v>479.53890958463973</c:v>
                </c:pt>
                <c:pt idx="71">
                  <c:v>508.77165593420756</c:v>
                </c:pt>
                <c:pt idx="72">
                  <c:v>139.34535001947697</c:v>
                </c:pt>
                <c:pt idx="73">
                  <c:v>271.79575100159184</c:v>
                </c:pt>
                <c:pt idx="74">
                  <c:v>665.26927823900201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1-441F-808A-23FE5F9AE553}"/>
            </c:ext>
          </c:extLst>
        </c:ser>
        <c:ser>
          <c:idx val="2"/>
          <c:order val="1"/>
          <c:tx>
            <c:v>S2 (R² = 0.9537)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'TOC-IC-pH'!$B$96:$B$177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  <c:pt idx="58">
                  <c:v>138</c:v>
                </c:pt>
                <c:pt idx="59">
                  <c:v>141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152</c:v>
                </c:pt>
                <c:pt idx="64">
                  <c:v>154</c:v>
                </c:pt>
                <c:pt idx="65">
                  <c:v>156</c:v>
                </c:pt>
                <c:pt idx="66">
                  <c:v>159</c:v>
                </c:pt>
                <c:pt idx="67">
                  <c:v>170</c:v>
                </c:pt>
                <c:pt idx="68">
                  <c:v>174</c:v>
                </c:pt>
                <c:pt idx="69">
                  <c:v>177</c:v>
                </c:pt>
                <c:pt idx="70">
                  <c:v>181</c:v>
                </c:pt>
                <c:pt idx="71">
                  <c:v>184</c:v>
                </c:pt>
                <c:pt idx="72">
                  <c:v>187</c:v>
                </c:pt>
                <c:pt idx="73">
                  <c:v>190</c:v>
                </c:pt>
                <c:pt idx="74">
                  <c:v>193</c:v>
                </c:pt>
                <c:pt idx="75">
                  <c:v>196</c:v>
                </c:pt>
                <c:pt idx="76">
                  <c:v>197</c:v>
                </c:pt>
                <c:pt idx="77">
                  <c:v>198</c:v>
                </c:pt>
                <c:pt idx="78">
                  <c:v>199</c:v>
                </c:pt>
                <c:pt idx="79">
                  <c:v>200</c:v>
                </c:pt>
                <c:pt idx="80">
                  <c:v>201</c:v>
                </c:pt>
                <c:pt idx="81">
                  <c:v>202</c:v>
                </c:pt>
              </c:numCache>
            </c:numRef>
          </c:xVal>
          <c:yVal>
            <c:numRef>
              <c:f>'TOC-IC-pH'!$BX$96:$BX$177</c:f>
              <c:numCache>
                <c:formatCode>_(* #,##0.00_);_(* \(#,##0.00\);_(* "-"??_);_(@_)</c:formatCode>
                <c:ptCount val="82"/>
                <c:pt idx="2">
                  <c:v>356.90462367345049</c:v>
                </c:pt>
                <c:pt idx="3">
                  <c:v>389.29167003863063</c:v>
                </c:pt>
                <c:pt idx="4">
                  <c:v>264.94842687764339</c:v>
                </c:pt>
                <c:pt idx="5">
                  <c:v>250.01590093495395</c:v>
                </c:pt>
                <c:pt idx="6">
                  <c:v>233.16012148320539</c:v>
                </c:pt>
                <c:pt idx="7">
                  <c:v>308.60944689208691</c:v>
                </c:pt>
                <c:pt idx="8">
                  <c:v>137.29983941387636</c:v>
                </c:pt>
                <c:pt idx="9">
                  <c:v>185.52343717112748</c:v>
                </c:pt>
                <c:pt idx="10">
                  <c:v>84.611238193157902</c:v>
                </c:pt>
                <c:pt idx="11">
                  <c:v>107.17137051024245</c:v>
                </c:pt>
                <c:pt idx="12">
                  <c:v>101.29463446204528</c:v>
                </c:pt>
                <c:pt idx="13">
                  <c:v>82.246782545638496</c:v>
                </c:pt>
                <c:pt idx="14">
                  <c:v>49.883540109122791</c:v>
                </c:pt>
                <c:pt idx="15">
                  <c:v>76.425892715125045</c:v>
                </c:pt>
                <c:pt idx="16">
                  <c:v>79.066775562494996</c:v>
                </c:pt>
                <c:pt idx="17">
                  <c:v>149.91</c:v>
                </c:pt>
                <c:pt idx="18">
                  <c:v>149.91</c:v>
                </c:pt>
                <c:pt idx="19">
                  <c:v>121.45371357078332</c:v>
                </c:pt>
                <c:pt idx="21">
                  <c:v>127.12979522222993</c:v>
                </c:pt>
                <c:pt idx="22">
                  <c:v>166.35718265555278</c:v>
                </c:pt>
                <c:pt idx="23">
                  <c:v>216.6913935121953</c:v>
                </c:pt>
                <c:pt idx="24">
                  <c:v>162.60220345819795</c:v>
                </c:pt>
                <c:pt idx="25">
                  <c:v>195.52020116273385</c:v>
                </c:pt>
                <c:pt idx="26">
                  <c:v>132.45182563711938</c:v>
                </c:pt>
                <c:pt idx="27">
                  <c:v>111.1832654157823</c:v>
                </c:pt>
                <c:pt idx="28">
                  <c:v>159.91076228710352</c:v>
                </c:pt>
                <c:pt idx="29">
                  <c:v>150.82193830730671</c:v>
                </c:pt>
                <c:pt idx="30">
                  <c:v>135.02179561461654</c:v>
                </c:pt>
                <c:pt idx="31">
                  <c:v>324.55486722205148</c:v>
                </c:pt>
                <c:pt idx="32">
                  <c:v>175.61089057945944</c:v>
                </c:pt>
                <c:pt idx="33">
                  <c:v>114.65949480637907</c:v>
                </c:pt>
                <c:pt idx="34">
                  <c:v>119.0763564902804</c:v>
                </c:pt>
                <c:pt idx="35">
                  <c:v>139.11863199014218</c:v>
                </c:pt>
                <c:pt idx="36">
                  <c:v>135.24798060081233</c:v>
                </c:pt>
                <c:pt idx="37">
                  <c:v>135.67719307056328</c:v>
                </c:pt>
                <c:pt idx="38">
                  <c:v>227.31161324709888</c:v>
                </c:pt>
                <c:pt idx="39">
                  <c:v>240.61284335857226</c:v>
                </c:pt>
                <c:pt idx="40">
                  <c:v>102.92212852837729</c:v>
                </c:pt>
                <c:pt idx="41">
                  <c:v>166.52612540344475</c:v>
                </c:pt>
                <c:pt idx="42">
                  <c:v>123.01925679734781</c:v>
                </c:pt>
                <c:pt idx="43">
                  <c:v>159.75644573263887</c:v>
                </c:pt>
                <c:pt idx="44">
                  <c:v>204.22801677816912</c:v>
                </c:pt>
                <c:pt idx="45">
                  <c:v>207.84228116354046</c:v>
                </c:pt>
                <c:pt idx="46">
                  <c:v>317.95529116380317</c:v>
                </c:pt>
                <c:pt idx="47">
                  <c:v>123.67041078343932</c:v>
                </c:pt>
                <c:pt idx="48">
                  <c:v>118.24297215713867</c:v>
                </c:pt>
                <c:pt idx="49">
                  <c:v>132.85122111673786</c:v>
                </c:pt>
                <c:pt idx="50">
                  <c:v>139.27694432639183</c:v>
                </c:pt>
                <c:pt idx="51">
                  <c:v>295.9711618023502</c:v>
                </c:pt>
                <c:pt idx="52">
                  <c:v>226.34848365156628</c:v>
                </c:pt>
                <c:pt idx="53">
                  <c:v>134.15557020334282</c:v>
                </c:pt>
                <c:pt idx="54">
                  <c:v>198.49840710746929</c:v>
                </c:pt>
                <c:pt idx="55">
                  <c:v>218.55358129127831</c:v>
                </c:pt>
                <c:pt idx="56">
                  <c:v>210.38027394212187</c:v>
                </c:pt>
                <c:pt idx="57">
                  <c:v>200.48271535946287</c:v>
                </c:pt>
                <c:pt idx="58">
                  <c:v>214.98291185566973</c:v>
                </c:pt>
                <c:pt idx="59">
                  <c:v>210.76698510180739</c:v>
                </c:pt>
                <c:pt idx="60">
                  <c:v>236.6268170133427</c:v>
                </c:pt>
                <c:pt idx="61">
                  <c:v>506.65498034683287</c:v>
                </c:pt>
                <c:pt idx="62">
                  <c:v>365.39030297075016</c:v>
                </c:pt>
                <c:pt idx="63">
                  <c:v>287.17193996217713</c:v>
                </c:pt>
                <c:pt idx="64">
                  <c:v>251.10856889841284</c:v>
                </c:pt>
                <c:pt idx="65">
                  <c:v>210.37215022091306</c:v>
                </c:pt>
                <c:pt idx="66">
                  <c:v>218.67931056652552</c:v>
                </c:pt>
                <c:pt idx="67">
                  <c:v>194.27674680854562</c:v>
                </c:pt>
                <c:pt idx="68">
                  <c:v>203.45204628817788</c:v>
                </c:pt>
                <c:pt idx="69">
                  <c:v>227.85378064935773</c:v>
                </c:pt>
                <c:pt idx="70">
                  <c:v>269.68899247350407</c:v>
                </c:pt>
                <c:pt idx="71">
                  <c:v>188.20587959181196</c:v>
                </c:pt>
                <c:pt idx="72">
                  <c:v>166.43279673949053</c:v>
                </c:pt>
                <c:pt idx="73">
                  <c:v>197.00555463469144</c:v>
                </c:pt>
                <c:pt idx="74">
                  <c:v>192.120758673491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1-441F-808A-23FE5F9AE553}"/>
            </c:ext>
          </c:extLst>
        </c:ser>
        <c:ser>
          <c:idx val="6"/>
          <c:order val="2"/>
          <c:tx>
            <c:v>S4 (R² = 0.8556)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'TOC-IC-pH'!$B$96:$B$177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  <c:pt idx="58">
                  <c:v>138</c:v>
                </c:pt>
                <c:pt idx="59">
                  <c:v>141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152</c:v>
                </c:pt>
                <c:pt idx="64">
                  <c:v>154</c:v>
                </c:pt>
                <c:pt idx="65">
                  <c:v>156</c:v>
                </c:pt>
                <c:pt idx="66">
                  <c:v>159</c:v>
                </c:pt>
                <c:pt idx="67">
                  <c:v>170</c:v>
                </c:pt>
                <c:pt idx="68">
                  <c:v>174</c:v>
                </c:pt>
                <c:pt idx="69">
                  <c:v>177</c:v>
                </c:pt>
                <c:pt idx="70">
                  <c:v>181</c:v>
                </c:pt>
                <c:pt idx="71">
                  <c:v>184</c:v>
                </c:pt>
                <c:pt idx="72">
                  <c:v>187</c:v>
                </c:pt>
                <c:pt idx="73">
                  <c:v>190</c:v>
                </c:pt>
                <c:pt idx="74">
                  <c:v>193</c:v>
                </c:pt>
                <c:pt idx="75">
                  <c:v>196</c:v>
                </c:pt>
                <c:pt idx="76">
                  <c:v>197</c:v>
                </c:pt>
                <c:pt idx="77">
                  <c:v>198</c:v>
                </c:pt>
                <c:pt idx="78">
                  <c:v>199</c:v>
                </c:pt>
                <c:pt idx="79">
                  <c:v>200</c:v>
                </c:pt>
                <c:pt idx="80">
                  <c:v>201</c:v>
                </c:pt>
                <c:pt idx="81">
                  <c:v>202</c:v>
                </c:pt>
              </c:numCache>
            </c:numRef>
          </c:xVal>
          <c:yVal>
            <c:numRef>
              <c:f>'TOC-IC-pH'!$DV$96:$DV$177</c:f>
              <c:numCache>
                <c:formatCode>_(* #,##0.00_);_(* \(#,##0.00\);_(* "-"??_);_(@_)</c:formatCode>
                <c:ptCount val="82"/>
                <c:pt idx="19">
                  <c:v>48.041345539557916</c:v>
                </c:pt>
                <c:pt idx="20">
                  <c:v>64.0672961276656</c:v>
                </c:pt>
                <c:pt idx="21">
                  <c:v>58.86766691052518</c:v>
                </c:pt>
                <c:pt idx="22">
                  <c:v>83.388134733425602</c:v>
                </c:pt>
                <c:pt idx="23">
                  <c:v>62.25441801227884</c:v>
                </c:pt>
                <c:pt idx="24">
                  <c:v>68.259046231203001</c:v>
                </c:pt>
                <c:pt idx="25">
                  <c:v>59.651331754509805</c:v>
                </c:pt>
                <c:pt idx="26">
                  <c:v>47.392085848731206</c:v>
                </c:pt>
                <c:pt idx="27">
                  <c:v>36.666661446560141</c:v>
                </c:pt>
                <c:pt idx="28">
                  <c:v>44.54160244757378</c:v>
                </c:pt>
                <c:pt idx="29">
                  <c:v>39.960696512113614</c:v>
                </c:pt>
                <c:pt idx="30">
                  <c:v>31.666144632877234</c:v>
                </c:pt>
                <c:pt idx="31">
                  <c:v>151.1247489923739</c:v>
                </c:pt>
                <c:pt idx="32">
                  <c:v>28.511580268873473</c:v>
                </c:pt>
                <c:pt idx="33">
                  <c:v>31.187287554694656</c:v>
                </c:pt>
                <c:pt idx="34">
                  <c:v>36.288649564783</c:v>
                </c:pt>
                <c:pt idx="35">
                  <c:v>40.172227295771037</c:v>
                </c:pt>
                <c:pt idx="36">
                  <c:v>28.988323136393049</c:v>
                </c:pt>
                <c:pt idx="37">
                  <c:v>27.866706615143727</c:v>
                </c:pt>
                <c:pt idx="38">
                  <c:v>35.041357286378648</c:v>
                </c:pt>
                <c:pt idx="39">
                  <c:v>48.071753371249265</c:v>
                </c:pt>
                <c:pt idx="40">
                  <c:v>65.826732240909365</c:v>
                </c:pt>
                <c:pt idx="41">
                  <c:v>40.209827728997496</c:v>
                </c:pt>
                <c:pt idx="43">
                  <c:v>64.643159830867035</c:v>
                </c:pt>
                <c:pt idx="44">
                  <c:v>17.706386271950649</c:v>
                </c:pt>
                <c:pt idx="45">
                  <c:v>32.138060761171005</c:v>
                </c:pt>
                <c:pt idx="46">
                  <c:v>13.877104216136956</c:v>
                </c:pt>
                <c:pt idx="47">
                  <c:v>4.6304246133657436</c:v>
                </c:pt>
                <c:pt idx="48">
                  <c:v>10.991780331507108</c:v>
                </c:pt>
                <c:pt idx="49">
                  <c:v>42.847864810984596</c:v>
                </c:pt>
                <c:pt idx="50">
                  <c:v>38.940319445734772</c:v>
                </c:pt>
                <c:pt idx="51">
                  <c:v>30.020376425938188</c:v>
                </c:pt>
                <c:pt idx="52">
                  <c:v>24.08767006390601</c:v>
                </c:pt>
                <c:pt idx="53">
                  <c:v>26.994003787655458</c:v>
                </c:pt>
                <c:pt idx="54">
                  <c:v>25.20519763374363</c:v>
                </c:pt>
                <c:pt idx="55">
                  <c:v>17.033432077751385</c:v>
                </c:pt>
                <c:pt idx="56">
                  <c:v>18.410728973977299</c:v>
                </c:pt>
                <c:pt idx="57">
                  <c:v>16.068754470696824</c:v>
                </c:pt>
                <c:pt idx="58">
                  <c:v>10.174322749442464</c:v>
                </c:pt>
                <c:pt idx="59">
                  <c:v>11.40655744341116</c:v>
                </c:pt>
                <c:pt idx="60">
                  <c:v>21.626801318020156</c:v>
                </c:pt>
                <c:pt idx="61">
                  <c:v>11.22866178940836</c:v>
                </c:pt>
                <c:pt idx="62">
                  <c:v>47.670349118589463</c:v>
                </c:pt>
                <c:pt idx="63">
                  <c:v>33.837069289554805</c:v>
                </c:pt>
                <c:pt idx="64">
                  <c:v>31.005654448151489</c:v>
                </c:pt>
                <c:pt idx="65">
                  <c:v>27.27733470309542</c:v>
                </c:pt>
                <c:pt idx="66">
                  <c:v>22.08397393838009</c:v>
                </c:pt>
                <c:pt idx="67">
                  <c:v>16.726484649558635</c:v>
                </c:pt>
                <c:pt idx="68">
                  <c:v>12.339216755800322</c:v>
                </c:pt>
                <c:pt idx="69">
                  <c:v>16.313226194839089</c:v>
                </c:pt>
                <c:pt idx="70">
                  <c:v>14.497580224263764</c:v>
                </c:pt>
                <c:pt idx="71">
                  <c:v>21.163703462998015</c:v>
                </c:pt>
                <c:pt idx="72">
                  <c:v>108.49905576941782</c:v>
                </c:pt>
                <c:pt idx="73">
                  <c:v>18.023608310862791</c:v>
                </c:pt>
                <c:pt idx="74">
                  <c:v>13.647586066650959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31-441F-808A-23FE5F9AE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S0 raw WW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10"/>
                  <c:spPr>
                    <a:solidFill>
                      <a:srgbClr val="FF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'TOC-IC-pH'!$B$96:$B$154</c15:sqref>
                        </c15:formulaRef>
                      </c:ext>
                    </c:extLst>
                    <c:numCache>
                      <c:formatCode>0</c:formatCode>
                      <c:ptCount val="5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16</c:v>
                      </c:pt>
                      <c:pt idx="10">
                        <c:v>19</c:v>
                      </c:pt>
                      <c:pt idx="11">
                        <c:v>21</c:v>
                      </c:pt>
                      <c:pt idx="12">
                        <c:v>23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33</c:v>
                      </c:pt>
                      <c:pt idx="17">
                        <c:v>36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43</c:v>
                      </c:pt>
                      <c:pt idx="21">
                        <c:v>44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51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63</c:v>
                      </c:pt>
                      <c:pt idx="30">
                        <c:v>65</c:v>
                      </c:pt>
                      <c:pt idx="31">
                        <c:v>68</c:v>
                      </c:pt>
                      <c:pt idx="32">
                        <c:v>69</c:v>
                      </c:pt>
                      <c:pt idx="33">
                        <c:v>70</c:v>
                      </c:pt>
                      <c:pt idx="34">
                        <c:v>71</c:v>
                      </c:pt>
                      <c:pt idx="35">
                        <c:v>72</c:v>
                      </c:pt>
                      <c:pt idx="36">
                        <c:v>76</c:v>
                      </c:pt>
                      <c:pt idx="37">
                        <c:v>77</c:v>
                      </c:pt>
                      <c:pt idx="38">
                        <c:v>79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89</c:v>
                      </c:pt>
                      <c:pt idx="43">
                        <c:v>91</c:v>
                      </c:pt>
                      <c:pt idx="44">
                        <c:v>96</c:v>
                      </c:pt>
                      <c:pt idx="45">
                        <c:v>98</c:v>
                      </c:pt>
                      <c:pt idx="46">
                        <c:v>100</c:v>
                      </c:pt>
                      <c:pt idx="47">
                        <c:v>103</c:v>
                      </c:pt>
                      <c:pt idx="48">
                        <c:v>105</c:v>
                      </c:pt>
                      <c:pt idx="49">
                        <c:v>107</c:v>
                      </c:pt>
                      <c:pt idx="50">
                        <c:v>110</c:v>
                      </c:pt>
                      <c:pt idx="51">
                        <c:v>113</c:v>
                      </c:pt>
                      <c:pt idx="52">
                        <c:v>117</c:v>
                      </c:pt>
                      <c:pt idx="53">
                        <c:v>120</c:v>
                      </c:pt>
                      <c:pt idx="54">
                        <c:v>124</c:v>
                      </c:pt>
                      <c:pt idx="55">
                        <c:v>127</c:v>
                      </c:pt>
                      <c:pt idx="56">
                        <c:v>131</c:v>
                      </c:pt>
                      <c:pt idx="57">
                        <c:v>134</c:v>
                      </c:pt>
                      <c:pt idx="58">
                        <c:v>138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'TOC-IC-pH'!$V$96:$V$154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59"/>
                      <c:pt idx="51">
                        <c:v>1049.5</c:v>
                      </c:pt>
                      <c:pt idx="53">
                        <c:v>690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317-4378-A236-B14D68B75F86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v>Removal overall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'TOC-IC-pH'!$B$96:$B$177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  <c:pt idx="58">
                  <c:v>138</c:v>
                </c:pt>
                <c:pt idx="59">
                  <c:v>141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152</c:v>
                </c:pt>
                <c:pt idx="64">
                  <c:v>154</c:v>
                </c:pt>
                <c:pt idx="65">
                  <c:v>156</c:v>
                </c:pt>
                <c:pt idx="66">
                  <c:v>159</c:v>
                </c:pt>
                <c:pt idx="67">
                  <c:v>170</c:v>
                </c:pt>
                <c:pt idx="68">
                  <c:v>174</c:v>
                </c:pt>
                <c:pt idx="69">
                  <c:v>177</c:v>
                </c:pt>
                <c:pt idx="70">
                  <c:v>181</c:v>
                </c:pt>
                <c:pt idx="71">
                  <c:v>184</c:v>
                </c:pt>
                <c:pt idx="72">
                  <c:v>187</c:v>
                </c:pt>
                <c:pt idx="73">
                  <c:v>190</c:v>
                </c:pt>
                <c:pt idx="74">
                  <c:v>193</c:v>
                </c:pt>
                <c:pt idx="75">
                  <c:v>196</c:v>
                </c:pt>
                <c:pt idx="76">
                  <c:v>197</c:v>
                </c:pt>
                <c:pt idx="77">
                  <c:v>198</c:v>
                </c:pt>
                <c:pt idx="78">
                  <c:v>199</c:v>
                </c:pt>
                <c:pt idx="79">
                  <c:v>200</c:v>
                </c:pt>
                <c:pt idx="80">
                  <c:v>201</c:v>
                </c:pt>
                <c:pt idx="81">
                  <c:v>202</c:v>
                </c:pt>
              </c:numCache>
            </c:numRef>
          </c:xVal>
          <c:yVal>
            <c:numRef>
              <c:f>'TOC-IC-pH'!$EP$96:$EP$177</c:f>
              <c:numCache>
                <c:formatCode>General</c:formatCode>
                <c:ptCount val="82"/>
                <c:pt idx="19" formatCode="_(* #,##0.00_);_(* \(#,##0.00\);_(* &quot;-&quot;??_);_(@_)">
                  <c:v>83.55273779959424</c:v>
                </c:pt>
                <c:pt idx="20" formatCode="_(* #,##0.00_);_(* \(#,##0.00\);_(* &quot;-&quot;??_);_(@_)">
                  <c:v>66.307834200148122</c:v>
                </c:pt>
                <c:pt idx="21" formatCode="_(* #,##0.00_);_(* \(#,##0.00\);_(* &quot;-&quot;??_);_(@_)">
                  <c:v>94.414581834157858</c:v>
                </c:pt>
                <c:pt idx="22" formatCode="_(* #,##0.00_);_(* \(#,##0.00\);_(* &quot;-&quot;??_);_(@_)">
                  <c:v>87.243267781820407</c:v>
                </c:pt>
                <c:pt idx="23" formatCode="_(* #,##0.00_);_(* \(#,##0.00\);_(* &quot;-&quot;??_);_(@_)">
                  <c:v>94.921891748171078</c:v>
                </c:pt>
                <c:pt idx="24" formatCode="_(* #,##0.00_);_(* \(#,##0.00\);_(* &quot;-&quot;??_);_(@_)">
                  <c:v>81.783428395670995</c:v>
                </c:pt>
                <c:pt idx="25" formatCode="_(* #,##0.00_);_(* \(#,##0.00\);_(* &quot;-&quot;??_);_(@_)">
                  <c:v>90.955827024405778</c:v>
                </c:pt>
                <c:pt idx="26" formatCode="_(* #,##0.00_);_(* \(#,##0.00\);_(* &quot;-&quot;??_);_(@_)">
                  <c:v>75.244007983793111</c:v>
                </c:pt>
                <c:pt idx="27" formatCode="_(* #,##0.00_);_(* \(#,##0.00\);_(* &quot;-&quot;??_);_(@_)">
                  <c:v>89.813161307864206</c:v>
                </c:pt>
                <c:pt idx="28" formatCode="_(* #,##0.00_);_(* \(#,##0.00\);_(* &quot;-&quot;??_);_(@_)">
                  <c:v>87.937484591799461</c:v>
                </c:pt>
                <c:pt idx="29" formatCode="_(* #,##0.00_);_(* \(#,##0.00\);_(* &quot;-&quot;??_);_(@_)">
                  <c:v>96.125933565745797</c:v>
                </c:pt>
                <c:pt idx="30" formatCode="_(* #,##0.00_);_(* \(#,##0.00\);_(* &quot;-&quot;??_);_(@_)">
                  <c:v>94.736527672563625</c:v>
                </c:pt>
                <c:pt idx="31" formatCode="_(* #,##0.00_);_(* \(#,##0.00\);_(* &quot;-&quot;??_);_(@_)">
                  <c:v>35.266206582712286</c:v>
                </c:pt>
                <c:pt idx="32" formatCode="_(* #,##0.00_);_(* \(#,##0.00\);_(* &quot;-&quot;??_);_(@_)">
                  <c:v>91.983538322296184</c:v>
                </c:pt>
                <c:pt idx="33" formatCode="_(* #,##0.00_);_(* \(#,##0.00\);_(* &quot;-&quot;??_);_(@_)">
                  <c:v>81.819770683526073</c:v>
                </c:pt>
                <c:pt idx="34" formatCode="_(* #,##0.00_);_(* \(#,##0.00\);_(* &quot;-&quot;??_);_(@_)">
                  <c:v>92.645900726494276</c:v>
                </c:pt>
                <c:pt idx="35" formatCode="_(* #,##0.00_);_(* \(#,##0.00\);_(* &quot;-&quot;??_);_(@_)">
                  <c:v>88.802720080308077</c:v>
                </c:pt>
                <c:pt idx="36" formatCode="_(* #,##0.00_);_(* \(#,##0.00\);_(* &quot;-&quot;??_);_(@_)">
                  <c:v>90.05646799869173</c:v>
                </c:pt>
                <c:pt idx="37" formatCode="_(* #,##0.00_);_(* \(#,##0.00\);_(* &quot;-&quot;??_);_(@_)">
                  <c:v>86.913426117226166</c:v>
                </c:pt>
                <c:pt idx="38" formatCode="_(* #,##0.00_);_(* \(#,##0.00\);_(* &quot;-&quot;??_);_(@_)">
                  <c:v>89.987295791873734</c:v>
                </c:pt>
                <c:pt idx="39" formatCode="_(* #,##0.00_);_(* \(#,##0.00\);_(* &quot;-&quot;??_);_(@_)">
                  <c:v>94.896844088090575</c:v>
                </c:pt>
                <c:pt idx="40" formatCode="_(* #,##0.00_);_(* \(#,##0.00\);_(* &quot;-&quot;??_);_(@_)">
                  <c:v>84.783146816064004</c:v>
                </c:pt>
                <c:pt idx="41" formatCode="_(* #,##0.00_);_(* \(#,##0.00\);_(* &quot;-&quot;??_);_(@_)">
                  <c:v>89.250962843671616</c:v>
                </c:pt>
                <c:pt idx="43" formatCode="_(* #,##0.00_);_(* \(#,##0.00\);_(* &quot;-&quot;??_);_(@_)">
                  <c:v>86.213896640264508</c:v>
                </c:pt>
                <c:pt idx="44" formatCode="_(* #,##0.00_);_(* \(#,##0.00\);_(* &quot;-&quot;??_);_(@_)">
                  <c:v>95.133916162721334</c:v>
                </c:pt>
                <c:pt idx="45" formatCode="_(* #,##0.00_);_(* \(#,##0.00\);_(* &quot;-&quot;??_);_(@_)">
                  <c:v>90.05674395140133</c:v>
                </c:pt>
                <c:pt idx="46" formatCode="_(* #,##0.00_);_(* \(#,##0.00\);_(* &quot;-&quot;??_);_(@_)">
                  <c:v>98.936706740675291</c:v>
                </c:pt>
                <c:pt idx="47" formatCode="_(* #,##0.00_);_(* \(#,##0.00\);_(* &quot;-&quot;??_);_(@_)">
                  <c:v>98.334957680666633</c:v>
                </c:pt>
                <c:pt idx="48" formatCode="_(* #,##0.00_);_(* \(#,##0.00\);_(* &quot;-&quot;??_);_(@_)">
                  <c:v>98.222526553222394</c:v>
                </c:pt>
                <c:pt idx="49" formatCode="_(* #,##0.00_);_(* \(#,##0.00\);_(* &quot;-&quot;??_);_(@_)">
                  <c:v>92.104364802005563</c:v>
                </c:pt>
                <c:pt idx="50" formatCode="_(* #,##0.00_);_(* \(#,##0.00\);_(* &quot;-&quot;??_);_(@_)">
                  <c:v>84.75003473897884</c:v>
                </c:pt>
                <c:pt idx="51" formatCode="_(* #,##0.00_);_(* \(#,##0.00\);_(* &quot;-&quot;??_);_(@_)">
                  <c:v>96.711397311351192</c:v>
                </c:pt>
                <c:pt idx="52" formatCode="_(* #,##0.00_);_(* \(#,##0.00\);_(* &quot;-&quot;??_);_(@_)">
                  <c:v>97.105370415809659</c:v>
                </c:pt>
                <c:pt idx="53" formatCode="_(* #,##0.00_);_(* \(#,##0.00\);_(* &quot;-&quot;??_);_(@_)">
                  <c:v>89.712665186738775</c:v>
                </c:pt>
                <c:pt idx="54" formatCode="_(* #,##0.00_);_(* \(#,##0.00\);_(* &quot;-&quot;??_);_(@_)">
                  <c:v>96.776642525934605</c:v>
                </c:pt>
                <c:pt idx="55" formatCode="_(* #,##0.00_);_(* \(#,##0.00\);_(* &quot;-&quot;??_);_(@_)">
                  <c:v>97.055501494604769</c:v>
                </c:pt>
                <c:pt idx="56" formatCode="_(* #,##0.00_);_(* \(#,##0.00\);_(* &quot;-&quot;??_);_(@_)">
                  <c:v>96.500358304665554</c:v>
                </c:pt>
                <c:pt idx="57" formatCode="_(* #,##0.00_);_(* \(#,##0.00\);_(* &quot;-&quot;??_);_(@_)">
                  <c:v>96.918033175800574</c:v>
                </c:pt>
                <c:pt idx="58" formatCode="_(* #,##0.00_);_(* \(#,##0.00\);_(* &quot;-&quot;??_);_(@_)">
                  <c:v>97.706946291203025</c:v>
                </c:pt>
                <c:pt idx="59" formatCode="_(* #,##0.00_);_(* \(#,##0.00\);_(* &quot;-&quot;??_);_(@_)">
                  <c:v>97.479039155106221</c:v>
                </c:pt>
                <c:pt idx="60" formatCode="_(* #,##0.00_);_(* \(#,##0.00\);_(* &quot;-&quot;??_);_(@_)">
                  <c:v>94.253928773123448</c:v>
                </c:pt>
                <c:pt idx="61" formatCode="_(* #,##0.00_);_(* \(#,##0.00\);_(* &quot;-&quot;??_);_(@_)">
                  <c:v>97.818305620358359</c:v>
                </c:pt>
                <c:pt idx="62" formatCode="_(* #,##0.00_);_(* \(#,##0.00\);_(* &quot;-&quot;??_);_(@_)">
                  <c:v>89.83856659517005</c:v>
                </c:pt>
                <c:pt idx="63" formatCode="_(* #,##0.00_);_(* \(#,##0.00\);_(* &quot;-&quot;??_);_(@_)">
                  <c:v>85.028949511066799</c:v>
                </c:pt>
                <c:pt idx="64" formatCode="_(* #,##0.00_);_(* \(#,##0.00\);_(* &quot;-&quot;??_);_(@_)">
                  <c:v>92.042122249260856</c:v>
                </c:pt>
                <c:pt idx="65" formatCode="_(* #,##0.00_);_(* \(#,##0.00\);_(* &quot;-&quot;??_);_(@_)">
                  <c:v>93.42038871462475</c:v>
                </c:pt>
                <c:pt idx="66" formatCode="_(* #,##0.00_);_(* \(#,##0.00\);_(* &quot;-&quot;??_);_(@_)">
                  <c:v>97.219524152637192</c:v>
                </c:pt>
                <c:pt idx="67" formatCode="_(* #,##0.00_);_(* \(#,##0.00\);_(* &quot;-&quot;??_);_(@_)">
                  <c:v>97.037068946250145</c:v>
                </c:pt>
                <c:pt idx="68" formatCode="_(* #,##0.00_);_(* \(#,##0.00\);_(* &quot;-&quot;??_);_(@_)">
                  <c:v>97.664806366614215</c:v>
                </c:pt>
                <c:pt idx="69" formatCode="_(* #,##0.00_);_(* \(#,##0.00\);_(* &quot;-&quot;??_);_(@_)">
                  <c:v>97.821927385978</c:v>
                </c:pt>
                <c:pt idx="70" formatCode="_(* #,##0.00_);_(* \(#,##0.00\);_(* &quot;-&quot;??_);_(@_)">
                  <c:v>96.976766653446106</c:v>
                </c:pt>
                <c:pt idx="71" formatCode="_(* #,##0.00_);_(* \(#,##0.00\);_(* &quot;-&quot;??_);_(@_)">
                  <c:v>95.840235355851902</c:v>
                </c:pt>
                <c:pt idx="72" formatCode="_(* #,##0.00_);_(* \(#,##0.00\);_(* &quot;-&quot;??_);_(@_)">
                  <c:v>22.136579545530306</c:v>
                </c:pt>
                <c:pt idx="73" formatCode="_(* #,##0.00_);_(* \(#,##0.00\);_(* &quot;-&quot;??_);_(@_)">
                  <c:v>93.368693864990831</c:v>
                </c:pt>
                <c:pt idx="74" formatCode="_(* #,##0.00_);_(* \(#,##0.00\);_(* &quot;-&quot;??_);_(@_)">
                  <c:v>97.948562106643976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31-441F-808A-23FE5F9AE553}"/>
            </c:ext>
          </c:extLst>
        </c:ser>
        <c:ser>
          <c:idx val="1"/>
          <c:order val="4"/>
          <c:tx>
            <c:v>No add sugar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'TOC-IC-pH'!$B$105</c:f>
              <c:numCache>
                <c:formatCode>0</c:formatCode>
                <c:ptCount val="1"/>
                <c:pt idx="0">
                  <c:v>16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031-441F-808A-23FE5F9AE553}"/>
            </c:ext>
          </c:extLst>
        </c:ser>
        <c:ser>
          <c:idx val="4"/>
          <c:order val="5"/>
          <c:tx>
            <c:v>Start MBR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'TOC-IC-pH'!$B$115</c:f>
              <c:numCache>
                <c:formatCode>0</c:formatCode>
                <c:ptCount val="1"/>
                <c:pt idx="0">
                  <c:v>42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031-441F-808A-23FE5F9AE553}"/>
            </c:ext>
          </c:extLst>
        </c:ser>
        <c:ser>
          <c:idx val="5"/>
          <c:order val="6"/>
          <c:tx>
            <c:v>sludges leaked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'TOC-IC-pH'!$B$127</c:f>
              <c:numCache>
                <c:formatCode>0</c:formatCode>
                <c:ptCount val="1"/>
                <c:pt idx="0">
                  <c:v>68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031-441F-808A-23FE5F9AE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7888"/>
        <c:axId val="751273136"/>
      </c:scatterChart>
      <c:valAx>
        <c:axId val="602022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  <c:majorUnit val="10"/>
        <c:minorUnit val="5"/>
      </c:valAx>
      <c:valAx>
        <c:axId val="602017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COD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valAx>
        <c:axId val="751273136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Removal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267888"/>
        <c:crosses val="max"/>
        <c:crossBetween val="between"/>
        <c:majorUnit val="20"/>
      </c:valAx>
      <c:catAx>
        <c:axId val="7512678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5127313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8.1169630239242549E-2"/>
          <c:y val="2.8084580247147044E-2"/>
          <c:w val="0.5517790398986"/>
          <c:h val="4.886987350417049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S0_TN</c:v>
          </c:tx>
          <c:spPr>
            <a:ln w="3175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'TOC-IC-pH'!$B$96:$B$153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</c:numCache>
            </c:numRef>
          </c:xVal>
          <c:yVal>
            <c:numRef>
              <c:f>'TOC-IC-pH'!$E$96:$E$153</c:f>
              <c:numCache>
                <c:formatCode>_(* #,##0.00_);_(* \(#,##0.00\);_(* "-"??_);_(@_)</c:formatCode>
                <c:ptCount val="58"/>
                <c:pt idx="1">
                  <c:v>22.408327972396048</c:v>
                </c:pt>
                <c:pt idx="2">
                  <c:v>22.197789344406104</c:v>
                </c:pt>
                <c:pt idx="3">
                  <c:v>20.53355989804588</c:v>
                </c:pt>
                <c:pt idx="4">
                  <c:v>21.410365335598982</c:v>
                </c:pt>
                <c:pt idx="5">
                  <c:v>21.947323704333051</c:v>
                </c:pt>
                <c:pt idx="6">
                  <c:v>25.432240311855079</c:v>
                </c:pt>
                <c:pt idx="7">
                  <c:v>27.55789956432011</c:v>
                </c:pt>
                <c:pt idx="8">
                  <c:v>23.645457717808537</c:v>
                </c:pt>
                <c:pt idx="9">
                  <c:v>23.359311387693381</c:v>
                </c:pt>
                <c:pt idx="10">
                  <c:v>26.167333390075747</c:v>
                </c:pt>
                <c:pt idx="11">
                  <c:v>13.234828496042217</c:v>
                </c:pt>
                <c:pt idx="12">
                  <c:v>18.738906088751289</c:v>
                </c:pt>
                <c:pt idx="13">
                  <c:v>18.982456140350877</c:v>
                </c:pt>
                <c:pt idx="14">
                  <c:v>18.892319277108435</c:v>
                </c:pt>
                <c:pt idx="15">
                  <c:v>20.182228915662648</c:v>
                </c:pt>
                <c:pt idx="17">
                  <c:v>18.210313819049368</c:v>
                </c:pt>
                <c:pt idx="18">
                  <c:v>11.143559718969556</c:v>
                </c:pt>
                <c:pt idx="19">
                  <c:v>12.011943793911007</c:v>
                </c:pt>
                <c:pt idx="20">
                  <c:v>14.093306288032455</c:v>
                </c:pt>
                <c:pt idx="21">
                  <c:v>14.222169192220498</c:v>
                </c:pt>
                <c:pt idx="22">
                  <c:v>20.811387900355875</c:v>
                </c:pt>
                <c:pt idx="23">
                  <c:v>27.069988137603801</c:v>
                </c:pt>
                <c:pt idx="24">
                  <c:v>20.701808986578488</c:v>
                </c:pt>
                <c:pt idx="25">
                  <c:v>20.732153277572461</c:v>
                </c:pt>
                <c:pt idx="26">
                  <c:v>12.972235383303325</c:v>
                </c:pt>
                <c:pt idx="27">
                  <c:v>22.826963702707893</c:v>
                </c:pt>
                <c:pt idx="28">
                  <c:v>16.811983867870172</c:v>
                </c:pt>
                <c:pt idx="29">
                  <c:v>13.938184284468559</c:v>
                </c:pt>
                <c:pt idx="30">
                  <c:v>18.986649550706034</c:v>
                </c:pt>
                <c:pt idx="31">
                  <c:v>18.570731707317073</c:v>
                </c:pt>
                <c:pt idx="32">
                  <c:v>13.977150192554557</c:v>
                </c:pt>
                <c:pt idx="33">
                  <c:v>10.380665427270978</c:v>
                </c:pt>
                <c:pt idx="34">
                  <c:v>14.022437335726647</c:v>
                </c:pt>
                <c:pt idx="35">
                  <c:v>13.357779344829797</c:v>
                </c:pt>
                <c:pt idx="36">
                  <c:v>13.56460728902748</c:v>
                </c:pt>
                <c:pt idx="37">
                  <c:v>16.574546871954784</c:v>
                </c:pt>
                <c:pt idx="38">
                  <c:v>15.550185149093744</c:v>
                </c:pt>
                <c:pt idx="39">
                  <c:v>17.734443716665108</c:v>
                </c:pt>
                <c:pt idx="40">
                  <c:v>18.953869186862541</c:v>
                </c:pt>
                <c:pt idx="41">
                  <c:v>19.461654135338343</c:v>
                </c:pt>
                <c:pt idx="42">
                  <c:v>21.633834586466165</c:v>
                </c:pt>
                <c:pt idx="43">
                  <c:v>21.218796992481202</c:v>
                </c:pt>
                <c:pt idx="44">
                  <c:v>31.690294438386044</c:v>
                </c:pt>
                <c:pt idx="45">
                  <c:v>27.284623773173394</c:v>
                </c:pt>
                <c:pt idx="46">
                  <c:v>35.889052659788284</c:v>
                </c:pt>
                <c:pt idx="47">
                  <c:v>37.505024788958863</c:v>
                </c:pt>
                <c:pt idx="48">
                  <c:v>31.740586895350397</c:v>
                </c:pt>
                <c:pt idx="49">
                  <c:v>34.924293179686451</c:v>
                </c:pt>
                <c:pt idx="50">
                  <c:v>26.568007010028236</c:v>
                </c:pt>
                <c:pt idx="51">
                  <c:v>30.049654366663415</c:v>
                </c:pt>
                <c:pt idx="52">
                  <c:v>36.071254745449231</c:v>
                </c:pt>
                <c:pt idx="53">
                  <c:v>26.311207834602826</c:v>
                </c:pt>
                <c:pt idx="54">
                  <c:v>25.440696409140369</c:v>
                </c:pt>
                <c:pt idx="55">
                  <c:v>40.275197195442601</c:v>
                </c:pt>
                <c:pt idx="56">
                  <c:v>41.316389132340056</c:v>
                </c:pt>
                <c:pt idx="57">
                  <c:v>34.476336090068806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D-4631-9AAD-3CE2FD52B818}"/>
            </c:ext>
          </c:extLst>
        </c:ser>
        <c:ser>
          <c:idx val="2"/>
          <c:order val="1"/>
          <c:tx>
            <c:v>S0_NH4-N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'TOC-IC-pH'!$B$96:$B$153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</c:numCache>
            </c:numRef>
          </c:xVal>
          <c:yVal>
            <c:numRef>
              <c:f>'TOC-IC-pH'!$O$96:$O$153</c:f>
              <c:numCache>
                <c:formatCode>_(* #,##0.00_);_(* \(#,##0.00\);_(* "-"??_);_(@_)</c:formatCode>
                <c:ptCount val="58"/>
                <c:pt idx="0">
                  <c:v>29.522929510971689</c:v>
                </c:pt>
                <c:pt idx="1">
                  <c:v>31.474461509791439</c:v>
                </c:pt>
                <c:pt idx="2">
                  <c:v>31.661981892441727</c:v>
                </c:pt>
                <c:pt idx="13">
                  <c:v>38.737890764524089</c:v>
                </c:pt>
                <c:pt idx="14">
                  <c:v>60.174296895625304</c:v>
                </c:pt>
                <c:pt idx="15">
                  <c:v>60.024070939387819</c:v>
                </c:pt>
                <c:pt idx="16">
                  <c:v>46.616107340860033</c:v>
                </c:pt>
                <c:pt idx="17">
                  <c:v>36.426443868122313</c:v>
                </c:pt>
                <c:pt idx="18">
                  <c:v>35.253241811998201</c:v>
                </c:pt>
                <c:pt idx="19">
                  <c:v>34.616518876275371</c:v>
                </c:pt>
                <c:pt idx="20">
                  <c:v>42.87414004627832</c:v>
                </c:pt>
                <c:pt idx="21">
                  <c:v>40.621410712344506</c:v>
                </c:pt>
                <c:pt idx="22">
                  <c:v>68.024777537931143</c:v>
                </c:pt>
                <c:pt idx="23">
                  <c:v>48.64427033994378</c:v>
                </c:pt>
                <c:pt idx="24">
                  <c:v>47.787795257248462</c:v>
                </c:pt>
                <c:pt idx="25">
                  <c:v>41.338359759601197</c:v>
                </c:pt>
                <c:pt idx="26">
                  <c:v>44.410013510785333</c:v>
                </c:pt>
                <c:pt idx="27">
                  <c:v>135.42776388737906</c:v>
                </c:pt>
                <c:pt idx="28">
                  <c:v>49.85024769773112</c:v>
                </c:pt>
                <c:pt idx="44">
                  <c:v>51.124501110369138</c:v>
                </c:pt>
                <c:pt idx="45">
                  <c:v>70.754352181137705</c:v>
                </c:pt>
                <c:pt idx="46">
                  <c:v>32.703710030593392</c:v>
                </c:pt>
                <c:pt idx="47">
                  <c:v>56.951454350628175</c:v>
                </c:pt>
                <c:pt idx="48">
                  <c:v>48.457673970773222</c:v>
                </c:pt>
                <c:pt idx="49">
                  <c:v>54.268942276334386</c:v>
                </c:pt>
                <c:pt idx="50">
                  <c:v>52.677231997266787</c:v>
                </c:pt>
                <c:pt idx="51">
                  <c:v>46.79724504216297</c:v>
                </c:pt>
                <c:pt idx="52">
                  <c:v>41.777056512353823</c:v>
                </c:pt>
                <c:pt idx="53">
                  <c:v>42.064199524793068</c:v>
                </c:pt>
                <c:pt idx="54">
                  <c:v>46.354883294768065</c:v>
                </c:pt>
                <c:pt idx="55">
                  <c:v>52.633360769027696</c:v>
                </c:pt>
                <c:pt idx="56">
                  <c:v>50.099777926172102</c:v>
                </c:pt>
                <c:pt idx="57">
                  <c:v>38.97830509527433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3D-4631-9AAD-3CE2FD52B818}"/>
            </c:ext>
          </c:extLst>
        </c:ser>
        <c:ser>
          <c:idx val="1"/>
          <c:order val="2"/>
          <c:tx>
            <c:v>S0_NO3-N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'TOC-IC-pH'!$B$96:$B$153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</c:numCache>
            </c:numRef>
          </c:xVal>
          <c:yVal>
            <c:numRef>
              <c:f>'TOC-IC-pH'!$K$96:$K$153</c:f>
              <c:numCache>
                <c:formatCode>_(* #,##0.00_);_(* \(#,##0.00\);_(* "-"??_);_(@_)</c:formatCode>
                <c:ptCount val="58"/>
                <c:pt idx="1">
                  <c:v>1.5925949999999998E-2</c:v>
                </c:pt>
                <c:pt idx="3">
                  <c:v>1.85238E-3</c:v>
                </c:pt>
                <c:pt idx="4">
                  <c:v>1.8207540000000001E-2</c:v>
                </c:pt>
                <c:pt idx="5">
                  <c:v>5.3086499999999998E-3</c:v>
                </c:pt>
                <c:pt idx="6">
                  <c:v>6.7318199999999995E-3</c:v>
                </c:pt>
                <c:pt idx="7">
                  <c:v>7.3236779999999987E-2</c:v>
                </c:pt>
                <c:pt idx="8">
                  <c:v>6.5194740000000001E-2</c:v>
                </c:pt>
                <c:pt idx="9">
                  <c:v>1.6084080000000001E-2</c:v>
                </c:pt>
                <c:pt idx="11">
                  <c:v>4.2243300000000001E-3</c:v>
                </c:pt>
                <c:pt idx="12">
                  <c:v>7.1723250000000002E-2</c:v>
                </c:pt>
                <c:pt idx="13">
                  <c:v>0.10472724</c:v>
                </c:pt>
                <c:pt idx="14">
                  <c:v>0.12666212999999998</c:v>
                </c:pt>
                <c:pt idx="17">
                  <c:v>5.7120464070000002E-2</c:v>
                </c:pt>
                <c:pt idx="18">
                  <c:v>3.9874038209999997E-2</c:v>
                </c:pt>
                <c:pt idx="19">
                  <c:v>5.908525190999999E-2</c:v>
                </c:pt>
                <c:pt idx="20">
                  <c:v>4.4629210619999998E-2</c:v>
                </c:pt>
                <c:pt idx="21">
                  <c:v>5.6801945069999991E-2</c:v>
                </c:pt>
                <c:pt idx="22">
                  <c:v>6.6037075919999993E-2</c:v>
                </c:pt>
                <c:pt idx="23">
                  <c:v>5.4023600970000002E-2</c:v>
                </c:pt>
                <c:pt idx="24">
                  <c:v>4.8851146079999998E-2</c:v>
                </c:pt>
                <c:pt idx="25">
                  <c:v>6.7709165129999999E-2</c:v>
                </c:pt>
                <c:pt idx="26">
                  <c:v>7.5587269499999998E-2</c:v>
                </c:pt>
                <c:pt idx="27">
                  <c:v>5.8769466300000003E-2</c:v>
                </c:pt>
                <c:pt idx="28">
                  <c:v>4.5086929199999994E-2</c:v>
                </c:pt>
                <c:pt idx="29">
                  <c:v>8.7423299999999995E-2</c:v>
                </c:pt>
                <c:pt idx="31">
                  <c:v>0.11977217999999999</c:v>
                </c:pt>
                <c:pt idx="33">
                  <c:v>4.6783890000000002E-2</c:v>
                </c:pt>
                <c:pt idx="34">
                  <c:v>2.6272169999999997E-2</c:v>
                </c:pt>
                <c:pt idx="35">
                  <c:v>4.8342599999999999E-2</c:v>
                </c:pt>
                <c:pt idx="36">
                  <c:v>5.5593990000000003E-2</c:v>
                </c:pt>
                <c:pt idx="37">
                  <c:v>9.8673120000000003E-2</c:v>
                </c:pt>
                <c:pt idx="38">
                  <c:v>0.16278354</c:v>
                </c:pt>
                <c:pt idx="39">
                  <c:v>7.3101239999999998E-2</c:v>
                </c:pt>
                <c:pt idx="40">
                  <c:v>8.4576959999999993E-2</c:v>
                </c:pt>
                <c:pt idx="42">
                  <c:v>4.6942020000000001E-2</c:v>
                </c:pt>
                <c:pt idx="45">
                  <c:v>3.5466299999999999E-2</c:v>
                </c:pt>
                <c:pt idx="46">
                  <c:v>4.4005320000000001E-2</c:v>
                </c:pt>
                <c:pt idx="47">
                  <c:v>4.443453E-2</c:v>
                </c:pt>
                <c:pt idx="49">
                  <c:v>3.0157650000000001E-2</c:v>
                </c:pt>
                <c:pt idx="52">
                  <c:v>4.1497829999999999E-2</c:v>
                </c:pt>
                <c:pt idx="53">
                  <c:v>9.3725909999999996E-2</c:v>
                </c:pt>
                <c:pt idx="54">
                  <c:v>0.31298444999999997</c:v>
                </c:pt>
                <c:pt idx="55">
                  <c:v>7.2468719999999986E-2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3D-4631-9AAD-3CE2FD52B818}"/>
            </c:ext>
          </c:extLst>
        </c:ser>
        <c:ser>
          <c:idx val="5"/>
          <c:order val="3"/>
          <c:tx>
            <c:v>S0_NO2-N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'TOC-IC-pH'!$B$96:$B$153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</c:numCache>
            </c:numRef>
          </c:xVal>
          <c:yVal>
            <c:numRef>
              <c:f>'TOC-IC-pH'!$I$96:$I$153</c:f>
              <c:numCache>
                <c:formatCode>_(* #,##0.00_);_(* \(#,##0.00\);_(* "-"??_);_(@_)</c:formatCode>
                <c:ptCount val="58"/>
                <c:pt idx="54">
                  <c:v>3.8667287779005792E-2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3D-4631-9AAD-3CE2FD52B818}"/>
            </c:ext>
          </c:extLst>
        </c:ser>
        <c:ser>
          <c:idx val="3"/>
          <c:order val="4"/>
          <c:tx>
            <c:v>Sugar added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16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E3D-4631-9AAD-3CE2FD52B818}"/>
            </c:ext>
          </c:extLst>
        </c:ser>
        <c:ser>
          <c:idx val="4"/>
          <c:order val="5"/>
          <c:tx>
            <c:v>Start MBR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42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E3D-4631-9AAD-3CE2FD52B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  <c:extLst/>
      </c:scatterChart>
      <c:valAx>
        <c:axId val="60202277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  <c:majorUnit val="10"/>
        <c:minorUnit val="5"/>
      </c:valAx>
      <c:valAx>
        <c:axId val="60201785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N-Balance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1435873280883475"/>
          <c:y val="6.7957422687411645E-2"/>
          <c:w val="0.10157633916166973"/>
          <c:h val="0.186624246297926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S2_TN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'TOC-IC-pH'!$B$96:$B$153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</c:numCache>
            </c:numRef>
          </c:xVal>
          <c:yVal>
            <c:numRef>
              <c:f>'TOC-IC-pH'!$BF$96:$BF$153</c:f>
              <c:numCache>
                <c:formatCode>_(* #,##0.00_);_(* \(#,##0.00\);_(* "-"??_);_(@_)</c:formatCode>
                <c:ptCount val="58"/>
                <c:pt idx="0">
                  <c:v>18.632668577109769</c:v>
                </c:pt>
                <c:pt idx="2">
                  <c:v>18.801099479501723</c:v>
                </c:pt>
                <c:pt idx="3">
                  <c:v>13.549702633814784</c:v>
                </c:pt>
                <c:pt idx="4">
                  <c:v>12.547153780798642</c:v>
                </c:pt>
                <c:pt idx="5">
                  <c:v>14.779949022939679</c:v>
                </c:pt>
                <c:pt idx="6">
                  <c:v>15.175418481999541</c:v>
                </c:pt>
                <c:pt idx="7">
                  <c:v>17.768860353130016</c:v>
                </c:pt>
                <c:pt idx="8">
                  <c:v>14.621379551006166</c:v>
                </c:pt>
                <c:pt idx="9">
                  <c:v>13.790857275793879</c:v>
                </c:pt>
                <c:pt idx="10">
                  <c:v>16.66865265128947</c:v>
                </c:pt>
                <c:pt idx="11">
                  <c:v>13.817005702612988</c:v>
                </c:pt>
                <c:pt idx="12">
                  <c:v>15.027863777089783</c:v>
                </c:pt>
                <c:pt idx="13">
                  <c:v>19.958720330237355</c:v>
                </c:pt>
                <c:pt idx="14">
                  <c:v>13.538403614457833</c:v>
                </c:pt>
                <c:pt idx="15">
                  <c:v>15.998493975903614</c:v>
                </c:pt>
                <c:pt idx="19">
                  <c:v>10.907494145199061</c:v>
                </c:pt>
                <c:pt idx="20">
                  <c:v>14.879370003579524</c:v>
                </c:pt>
                <c:pt idx="21">
                  <c:v>12.057272401861352</c:v>
                </c:pt>
                <c:pt idx="22">
                  <c:v>15.164887307236064</c:v>
                </c:pt>
                <c:pt idx="23">
                  <c:v>19.039145907473312</c:v>
                </c:pt>
                <c:pt idx="24">
                  <c:v>15.344874538027625</c:v>
                </c:pt>
                <c:pt idx="25">
                  <c:v>13.787978992413928</c:v>
                </c:pt>
                <c:pt idx="26">
                  <c:v>13.829621908462052</c:v>
                </c:pt>
                <c:pt idx="27">
                  <c:v>12.585365853658539</c:v>
                </c:pt>
                <c:pt idx="28">
                  <c:v>12.624543883234105</c:v>
                </c:pt>
                <c:pt idx="29">
                  <c:v>14.956690243193487</c:v>
                </c:pt>
                <c:pt idx="30">
                  <c:v>15.490629011553272</c:v>
                </c:pt>
                <c:pt idx="31">
                  <c:v>14.240564826700899</c:v>
                </c:pt>
                <c:pt idx="32">
                  <c:v>13.207702182284979</c:v>
                </c:pt>
                <c:pt idx="33">
                  <c:v>12.46695300980832</c:v>
                </c:pt>
                <c:pt idx="34">
                  <c:v>12.64234886851721</c:v>
                </c:pt>
                <c:pt idx="35">
                  <c:v>14.823257901147507</c:v>
                </c:pt>
                <c:pt idx="36">
                  <c:v>14.270902358214775</c:v>
                </c:pt>
                <c:pt idx="37">
                  <c:v>15.879945429740793</c:v>
                </c:pt>
                <c:pt idx="38">
                  <c:v>16.749951276554281</c:v>
                </c:pt>
                <c:pt idx="39">
                  <c:v>20.903153363900067</c:v>
                </c:pt>
                <c:pt idx="40">
                  <c:v>19.908299803499578</c:v>
                </c:pt>
                <c:pt idx="41">
                  <c:v>22.466165413533833</c:v>
                </c:pt>
                <c:pt idx="42">
                  <c:v>23.729323308270676</c:v>
                </c:pt>
                <c:pt idx="43">
                  <c:v>21.045112781954888</c:v>
                </c:pt>
                <c:pt idx="44">
                  <c:v>29.792802617230105</c:v>
                </c:pt>
                <c:pt idx="45">
                  <c:v>32.955288985823337</c:v>
                </c:pt>
                <c:pt idx="46">
                  <c:v>38.300951360042873</c:v>
                </c:pt>
                <c:pt idx="47">
                  <c:v>34.948412166688996</c:v>
                </c:pt>
                <c:pt idx="48">
                  <c:v>29.642235026128898</c:v>
                </c:pt>
                <c:pt idx="49">
                  <c:v>26.410290767787746</c:v>
                </c:pt>
                <c:pt idx="50">
                  <c:v>21.415636257423813</c:v>
                </c:pt>
                <c:pt idx="51">
                  <c:v>36.21847921331905</c:v>
                </c:pt>
                <c:pt idx="52">
                  <c:v>35.931081475713029</c:v>
                </c:pt>
                <c:pt idx="53">
                  <c:v>24.047878128400438</c:v>
                </c:pt>
                <c:pt idx="54">
                  <c:v>31.969532100108811</c:v>
                </c:pt>
                <c:pt idx="55">
                  <c:v>46.758983347940408</c:v>
                </c:pt>
                <c:pt idx="56">
                  <c:v>48.273444347063986</c:v>
                </c:pt>
                <c:pt idx="57">
                  <c:v>49.120856209604561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C-4E41-A470-53A73A9C4582}"/>
            </c:ext>
          </c:extLst>
        </c:ser>
        <c:ser>
          <c:idx val="2"/>
          <c:order val="1"/>
          <c:tx>
            <c:v>S2_NH4-N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'TOC-IC-pH'!$B$96:$B$153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</c:numCache>
            </c:numRef>
          </c:xVal>
          <c:yVal>
            <c:numRef>
              <c:f>'TOC-IC-pH'!$BP$96:$BP$153</c:f>
              <c:numCache>
                <c:formatCode>_(* #,##0.00_);_(* \(#,##0.00\);_(* "-"??_);_(@_)</c:formatCode>
                <c:ptCount val="58"/>
                <c:pt idx="13">
                  <c:v>76.518231795381482</c:v>
                </c:pt>
                <c:pt idx="14">
                  <c:v>62.413872625906542</c:v>
                </c:pt>
                <c:pt idx="15">
                  <c:v>65.881819452424949</c:v>
                </c:pt>
                <c:pt idx="16">
                  <c:v>64.297695401674105</c:v>
                </c:pt>
                <c:pt idx="17">
                  <c:v>47.983251285077571</c:v>
                </c:pt>
                <c:pt idx="18">
                  <c:v>46.433129377416805</c:v>
                </c:pt>
                <c:pt idx="19">
                  <c:v>50.931848182255841</c:v>
                </c:pt>
                <c:pt idx="20">
                  <c:v>53.515840231081022</c:v>
                </c:pt>
                <c:pt idx="21">
                  <c:v>53.161275293898406</c:v>
                </c:pt>
                <c:pt idx="22">
                  <c:v>68.066963800413092</c:v>
                </c:pt>
                <c:pt idx="23">
                  <c:v>74.141715714441006</c:v>
                </c:pt>
                <c:pt idx="24">
                  <c:v>75.241447051698174</c:v>
                </c:pt>
                <c:pt idx="25">
                  <c:v>59.862609289829642</c:v>
                </c:pt>
                <c:pt idx="26">
                  <c:v>54.803449132669705</c:v>
                </c:pt>
                <c:pt idx="27">
                  <c:v>57.814700355628716</c:v>
                </c:pt>
                <c:pt idx="28">
                  <c:v>61.815406954172033</c:v>
                </c:pt>
                <c:pt idx="44">
                  <c:v>71.82279129719069</c:v>
                </c:pt>
                <c:pt idx="45">
                  <c:v>75.141552653238705</c:v>
                </c:pt>
                <c:pt idx="46">
                  <c:v>60.057304365381327</c:v>
                </c:pt>
                <c:pt idx="47">
                  <c:v>65.9532868479493</c:v>
                </c:pt>
                <c:pt idx="48">
                  <c:v>47.308403087292099</c:v>
                </c:pt>
                <c:pt idx="49">
                  <c:v>41.299753078750797</c:v>
                </c:pt>
                <c:pt idx="50">
                  <c:v>60.540043172394519</c:v>
                </c:pt>
                <c:pt idx="51">
                  <c:v>63.326370878822225</c:v>
                </c:pt>
                <c:pt idx="52">
                  <c:v>68.92301958287392</c:v>
                </c:pt>
                <c:pt idx="53">
                  <c:v>51.548460236361102</c:v>
                </c:pt>
                <c:pt idx="54">
                  <c:v>64.193623530507978</c:v>
                </c:pt>
                <c:pt idx="55">
                  <c:v>67.471308993213555</c:v>
                </c:pt>
                <c:pt idx="56">
                  <c:v>71.875825012035477</c:v>
                </c:pt>
                <c:pt idx="57">
                  <c:v>71.215970680042858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BC-4E41-A470-53A73A9C4582}"/>
            </c:ext>
          </c:extLst>
        </c:ser>
        <c:ser>
          <c:idx val="1"/>
          <c:order val="2"/>
          <c:tx>
            <c:v>S2_NO3-N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'TOC-IC-pH'!$B$96:$B$153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</c:numCache>
            </c:numRef>
          </c:xVal>
          <c:yVal>
            <c:numRef>
              <c:f>'TOC-IC-pH'!$BL$96:$BL$153</c:f>
              <c:numCache>
                <c:formatCode>_(* #,##0.00_);_(* \(#,##0.00\);_(* "-"??_);_(@_)</c:formatCode>
                <c:ptCount val="58"/>
                <c:pt idx="0">
                  <c:v>1.470609E-2</c:v>
                </c:pt>
                <c:pt idx="1">
                  <c:v>8.5842000000000002E-3</c:v>
                </c:pt>
                <c:pt idx="2">
                  <c:v>1.8998189999999998E-2</c:v>
                </c:pt>
                <c:pt idx="3">
                  <c:v>5.6023199999999992E-3</c:v>
                </c:pt>
                <c:pt idx="4">
                  <c:v>7.5224700000000007E-3</c:v>
                </c:pt>
                <c:pt idx="5">
                  <c:v>7.2513899999999991E-3</c:v>
                </c:pt>
                <c:pt idx="6">
                  <c:v>3.3546149999999997E-2</c:v>
                </c:pt>
                <c:pt idx="7">
                  <c:v>3.6573209999999995E-2</c:v>
                </c:pt>
                <c:pt idx="8">
                  <c:v>2.7492030000000001E-2</c:v>
                </c:pt>
                <c:pt idx="9">
                  <c:v>1.7416890000000001E-2</c:v>
                </c:pt>
                <c:pt idx="13">
                  <c:v>0.13165452</c:v>
                </c:pt>
                <c:pt idx="17">
                  <c:v>6.3682475039999992E-2</c:v>
                </c:pt>
                <c:pt idx="18">
                  <c:v>4.9265446679999998E-2</c:v>
                </c:pt>
                <c:pt idx="19">
                  <c:v>4.132034037E-2</c:v>
                </c:pt>
                <c:pt idx="20">
                  <c:v>5.2078647149999997E-2</c:v>
                </c:pt>
                <c:pt idx="21">
                  <c:v>7.8749666189999984E-2</c:v>
                </c:pt>
                <c:pt idx="22">
                  <c:v>4.7485083599999998E-2</c:v>
                </c:pt>
                <c:pt idx="23">
                  <c:v>4.9426106759999998E-2</c:v>
                </c:pt>
                <c:pt idx="24">
                  <c:v>7.6485877110000003E-2</c:v>
                </c:pt>
                <c:pt idx="25">
                  <c:v>5.4979835669999998E-2</c:v>
                </c:pt>
                <c:pt idx="26">
                  <c:v>4.0161473369999999E-2</c:v>
                </c:pt>
                <c:pt idx="27">
                  <c:v>6.2963186850000005E-2</c:v>
                </c:pt>
                <c:pt idx="29">
                  <c:v>4.1298992819999998E-2</c:v>
                </c:pt>
                <c:pt idx="33">
                  <c:v>3.9735809999999996E-2</c:v>
                </c:pt>
                <c:pt idx="37">
                  <c:v>4.9246199999999997E-2</c:v>
                </c:pt>
                <c:pt idx="39">
                  <c:v>5.7830399999999997E-2</c:v>
                </c:pt>
                <c:pt idx="40">
                  <c:v>1.6852139999999998E-2</c:v>
                </c:pt>
                <c:pt idx="48">
                  <c:v>4.6332089999999999E-2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BC-4E41-A470-53A73A9C4582}"/>
            </c:ext>
          </c:extLst>
        </c:ser>
        <c:ser>
          <c:idx val="5"/>
          <c:order val="3"/>
          <c:tx>
            <c:v>S0_NO2-N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'TOC-IC-pH'!$B$96:$B$153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</c:numCache>
            </c:numRef>
          </c:xVal>
          <c:yVal>
            <c:numRef>
              <c:f>'TOC-IC-pH'!$BJ$96:$BJ$153</c:f>
              <c:numCache>
                <c:formatCode>_(* #,##0.00_);_(* \(#,##0.00\);_(* "-"??_);_(@_)</c:formatCode>
                <c:ptCount val="5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BC-4E41-A470-53A73A9C4582}"/>
            </c:ext>
          </c:extLst>
        </c:ser>
        <c:ser>
          <c:idx val="3"/>
          <c:order val="4"/>
          <c:tx>
            <c:v>Sugar added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16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0BC-4E41-A470-53A73A9C4582}"/>
            </c:ext>
          </c:extLst>
        </c:ser>
        <c:ser>
          <c:idx val="4"/>
          <c:order val="5"/>
          <c:tx>
            <c:v>Start MBR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42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0BC-4E41-A470-53A73A9C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  <c:extLst/>
      </c:scatterChart>
      <c:valAx>
        <c:axId val="60202277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  <c:majorUnit val="10"/>
        <c:minorUnit val="5"/>
      </c:valAx>
      <c:valAx>
        <c:axId val="602017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N-Balance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6021237094449921"/>
          <c:y val="4.7549366004435933E-2"/>
          <c:w val="0.10157633916166973"/>
          <c:h val="0.186624246297926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S4_TN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'TOC-IC-pH'!$B$96:$B$153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</c:numCache>
            </c:numRef>
          </c:xVal>
          <c:yVal>
            <c:numRef>
              <c:f>'TOC-IC-pH'!$DE$96:$DE$153</c:f>
              <c:numCache>
                <c:formatCode>_(* #,##0.00_);_(* \(#,##0.00\);_(* "-"??_);_(@_)</c:formatCode>
                <c:ptCount val="58"/>
                <c:pt idx="19">
                  <c:v>42.639344262295076</c:v>
                </c:pt>
                <c:pt idx="20">
                  <c:v>105.25951557093424</c:v>
                </c:pt>
                <c:pt idx="21">
                  <c:v>113.03424412361295</c:v>
                </c:pt>
                <c:pt idx="22">
                  <c:v>96.536180308422303</c:v>
                </c:pt>
                <c:pt idx="23">
                  <c:v>100.06613499319198</c:v>
                </c:pt>
                <c:pt idx="24">
                  <c:v>123.26784672242755</c:v>
                </c:pt>
                <c:pt idx="25">
                  <c:v>120.84030344290994</c:v>
                </c:pt>
                <c:pt idx="26">
                  <c:v>94.972045863735431</c:v>
                </c:pt>
                <c:pt idx="27">
                  <c:v>82.896101401958902</c:v>
                </c:pt>
                <c:pt idx="28">
                  <c:v>84.555406183983095</c:v>
                </c:pt>
                <c:pt idx="29">
                  <c:v>90.712140296482886</c:v>
                </c:pt>
                <c:pt idx="30">
                  <c:v>80.734274711168155</c:v>
                </c:pt>
                <c:pt idx="31">
                  <c:v>13.313992297817713</c:v>
                </c:pt>
                <c:pt idx="32">
                  <c:v>50.002567394094996</c:v>
                </c:pt>
                <c:pt idx="33">
                  <c:v>63.557920379511508</c:v>
                </c:pt>
                <c:pt idx="34">
                  <c:v>74.727867170972502</c:v>
                </c:pt>
                <c:pt idx="35">
                  <c:v>80.335918969164695</c:v>
                </c:pt>
                <c:pt idx="36">
                  <c:v>81.90216332099007</c:v>
                </c:pt>
                <c:pt idx="37">
                  <c:v>86.18203079321772</c:v>
                </c:pt>
                <c:pt idx="38">
                  <c:v>82.159423114402671</c:v>
                </c:pt>
                <c:pt idx="39">
                  <c:v>100.63067278001311</c:v>
                </c:pt>
                <c:pt idx="40">
                  <c:v>94.095630204921861</c:v>
                </c:pt>
                <c:pt idx="41">
                  <c:v>66.609022556390983</c:v>
                </c:pt>
                <c:pt idx="43">
                  <c:v>62.706766917293237</c:v>
                </c:pt>
                <c:pt idx="44">
                  <c:v>75.223555070883322</c:v>
                </c:pt>
                <c:pt idx="45">
                  <c:v>76.68484187568157</c:v>
                </c:pt>
                <c:pt idx="46">
                  <c:v>65.748358568940091</c:v>
                </c:pt>
                <c:pt idx="47">
                  <c:v>72.308723033632575</c:v>
                </c:pt>
                <c:pt idx="48">
                  <c:v>49.902184108267456</c:v>
                </c:pt>
                <c:pt idx="49">
                  <c:v>39.072758944124338</c:v>
                </c:pt>
                <c:pt idx="50">
                  <c:v>66.361600623113603</c:v>
                </c:pt>
                <c:pt idx="51">
                  <c:v>80.84899230844124</c:v>
                </c:pt>
                <c:pt idx="52">
                  <c:v>102.20967584931373</c:v>
                </c:pt>
                <c:pt idx="53">
                  <c:v>65.092491838955397</c:v>
                </c:pt>
                <c:pt idx="54">
                  <c:v>72.208922742110985</c:v>
                </c:pt>
                <c:pt idx="55">
                  <c:v>71.510955302366355</c:v>
                </c:pt>
                <c:pt idx="56">
                  <c:v>75.013146362839606</c:v>
                </c:pt>
                <c:pt idx="57">
                  <c:v>77.192299673361603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B-43A2-B0C6-BDB9650B28B2}"/>
            </c:ext>
          </c:extLst>
        </c:ser>
        <c:ser>
          <c:idx val="2"/>
          <c:order val="1"/>
          <c:tx>
            <c:v>S4_NH4-N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'TOC-IC-pH'!$B$96:$B$153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</c:numCache>
            </c:numRef>
          </c:xVal>
          <c:yVal>
            <c:numRef>
              <c:f>'TOC-IC-pH'!$DO$96:$DO$153</c:f>
              <c:numCache>
                <c:formatCode>_(* #,##0.00_);_(* \(#,##0.00\);_(* "-"??_);_(@_)</c:formatCode>
                <c:ptCount val="58"/>
                <c:pt idx="19">
                  <c:v>8.7071032565651546E-2</c:v>
                </c:pt>
                <c:pt idx="20">
                  <c:v>0.97355302595002569</c:v>
                </c:pt>
                <c:pt idx="21">
                  <c:v>9.790311058655444</c:v>
                </c:pt>
                <c:pt idx="22">
                  <c:v>4.3654434488220772</c:v>
                </c:pt>
                <c:pt idx="23">
                  <c:v>0.11015948938549221</c:v>
                </c:pt>
                <c:pt idx="24">
                  <c:v>9.1477334492879661E-2</c:v>
                </c:pt>
                <c:pt idx="25">
                  <c:v>0.15601851132887115</c:v>
                </c:pt>
                <c:pt idx="26">
                  <c:v>0.1901215970680043</c:v>
                </c:pt>
                <c:pt idx="27">
                  <c:v>0.47995900175484912</c:v>
                </c:pt>
                <c:pt idx="28">
                  <c:v>0.169599180035097</c:v>
                </c:pt>
                <c:pt idx="44">
                  <c:v>0.18472504775363782</c:v>
                </c:pt>
                <c:pt idx="45">
                  <c:v>0.30228440979609583</c:v>
                </c:pt>
                <c:pt idx="46">
                  <c:v>0.22649977482024444</c:v>
                </c:pt>
                <c:pt idx="47">
                  <c:v>0.26431444411659649</c:v>
                </c:pt>
                <c:pt idx="48">
                  <c:v>0.10482505862438464</c:v>
                </c:pt>
                <c:pt idx="49">
                  <c:v>0.1071545043715932</c:v>
                </c:pt>
                <c:pt idx="50">
                  <c:v>9.713788765859642E-2</c:v>
                </c:pt>
                <c:pt idx="51">
                  <c:v>6.8103675865389093</c:v>
                </c:pt>
                <c:pt idx="52">
                  <c:v>0.21019365458978459</c:v>
                </c:pt>
                <c:pt idx="53">
                  <c:v>0.23053748078207259</c:v>
                </c:pt>
                <c:pt idx="54">
                  <c:v>0.19753699936328484</c:v>
                </c:pt>
                <c:pt idx="55">
                  <c:v>0.29879024117528302</c:v>
                </c:pt>
                <c:pt idx="56">
                  <c:v>4.747332784619446</c:v>
                </c:pt>
                <c:pt idx="57">
                  <c:v>6.0526765331635426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7B-43A2-B0C6-BDB9650B28B2}"/>
            </c:ext>
          </c:extLst>
        </c:ser>
        <c:ser>
          <c:idx val="1"/>
          <c:order val="2"/>
          <c:tx>
            <c:v>S4_NO3-N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'TOC-IC-pH'!$B$96:$B$153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</c:numCache>
            </c:numRef>
          </c:xVal>
          <c:yVal>
            <c:numRef>
              <c:f>'TOC-IC-pH'!$DK$96:$DK$153</c:f>
              <c:numCache>
                <c:formatCode>_-* #\ ##0.0_-;\-* #\ ##0.0_-;_-* "-"??_-;_-@_-</c:formatCode>
                <c:ptCount val="58"/>
                <c:pt idx="19">
                  <c:v>45.375719759999996</c:v>
                </c:pt>
                <c:pt idx="20">
                  <c:v>104.5822122</c:v>
                </c:pt>
                <c:pt idx="21">
                  <c:v>106.72914321</c:v>
                </c:pt>
                <c:pt idx="22">
                  <c:v>92.441645909999991</c:v>
                </c:pt>
                <c:pt idx="23">
                  <c:v>97.855294229999998</c:v>
                </c:pt>
                <c:pt idx="24">
                  <c:v>118.62630225000001</c:v>
                </c:pt>
                <c:pt idx="25">
                  <c:v>118.90009305000001</c:v>
                </c:pt>
                <c:pt idx="26">
                  <c:v>87.709153860000001</c:v>
                </c:pt>
                <c:pt idx="27">
                  <c:v>79.758467819999993</c:v>
                </c:pt>
                <c:pt idx="28">
                  <c:v>80.147557979999988</c:v>
                </c:pt>
                <c:pt idx="30">
                  <c:v>94.751270099999999</c:v>
                </c:pt>
                <c:pt idx="31">
                  <c:v>0.90213164999999995</c:v>
                </c:pt>
                <c:pt idx="32">
                  <c:v>77.567508899999993</c:v>
                </c:pt>
                <c:pt idx="33">
                  <c:v>63.792623879999994</c:v>
                </c:pt>
                <c:pt idx="34">
                  <c:v>87.165435149999993</c:v>
                </c:pt>
                <c:pt idx="35">
                  <c:v>70.482290939999999</c:v>
                </c:pt>
                <c:pt idx="36">
                  <c:v>80.38915802999999</c:v>
                </c:pt>
                <c:pt idx="37">
                  <c:v>99.193887269999991</c:v>
                </c:pt>
                <c:pt idx="38">
                  <c:v>89.232962309999991</c:v>
                </c:pt>
                <c:pt idx="39">
                  <c:v>110.58216137999999</c:v>
                </c:pt>
                <c:pt idx="40">
                  <c:v>144.66317480999999</c:v>
                </c:pt>
                <c:pt idx="41">
                  <c:v>95.38494218999999</c:v>
                </c:pt>
                <c:pt idx="43">
                  <c:v>64.250252099999997</c:v>
                </c:pt>
                <c:pt idx="44">
                  <c:v>95.933020769999999</c:v>
                </c:pt>
                <c:pt idx="45">
                  <c:v>82.360948769999993</c:v>
                </c:pt>
                <c:pt idx="46">
                  <c:v>81.796492440000009</c:v>
                </c:pt>
                <c:pt idx="47">
                  <c:v>82.10288061</c:v>
                </c:pt>
                <c:pt idx="48">
                  <c:v>56.502198359999994</c:v>
                </c:pt>
                <c:pt idx="49">
                  <c:v>43.044092910000003</c:v>
                </c:pt>
                <c:pt idx="50">
                  <c:v>68.236347959999989</c:v>
                </c:pt>
                <c:pt idx="51">
                  <c:v>86.875153650000001</c:v>
                </c:pt>
                <c:pt idx="52">
                  <c:v>104.7403422</c:v>
                </c:pt>
                <c:pt idx="53">
                  <c:v>73.441513169999993</c:v>
                </c:pt>
                <c:pt idx="54">
                  <c:v>77.547833010000005</c:v>
                </c:pt>
                <c:pt idx="55">
                  <c:v>84.694834619999995</c:v>
                </c:pt>
                <c:pt idx="56">
                  <c:v>83.159821530000002</c:v>
                </c:pt>
                <c:pt idx="57">
                  <c:v>81.561804929999994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7B-43A2-B0C6-BDB9650B28B2}"/>
            </c:ext>
          </c:extLst>
        </c:ser>
        <c:ser>
          <c:idx val="5"/>
          <c:order val="3"/>
          <c:tx>
            <c:v>S0_NO2-N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'TOC-IC-pH'!$B$96:$B$153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</c:numCache>
            </c:numRef>
          </c:xVal>
          <c:yVal>
            <c:numRef>
              <c:f>'TOC-IC-pH'!$DI$96:$DI$153</c:f>
              <c:numCache>
                <c:formatCode>_(* #,##0.00_);_(* \(#,##0.00\);_(* "-"??_);_(@_)</c:formatCode>
                <c:ptCount val="58"/>
                <c:pt idx="46">
                  <c:v>0.20015649595211346</c:v>
                </c:pt>
                <c:pt idx="47">
                  <c:v>7.6268941642842134E-2</c:v>
                </c:pt>
                <c:pt idx="49">
                  <c:v>5.2885888875695328E-2</c:v>
                </c:pt>
                <c:pt idx="50">
                  <c:v>8.092728418629716E-2</c:v>
                </c:pt>
                <c:pt idx="51">
                  <c:v>4.9688987130186976E-2</c:v>
                </c:pt>
                <c:pt idx="52">
                  <c:v>0.1115262008933057</c:v>
                </c:pt>
                <c:pt idx="53">
                  <c:v>9.7459833213068933E-2</c:v>
                </c:pt>
                <c:pt idx="54">
                  <c:v>0.1452306792959509</c:v>
                </c:pt>
                <c:pt idx="55">
                  <c:v>0.22335686861951695</c:v>
                </c:pt>
                <c:pt idx="56">
                  <c:v>0.17202376059163993</c:v>
                </c:pt>
                <c:pt idx="57">
                  <c:v>0.25176362412960546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7B-43A2-B0C6-BDB9650B28B2}"/>
            </c:ext>
          </c:extLst>
        </c:ser>
        <c:ser>
          <c:idx val="3"/>
          <c:order val="4"/>
          <c:tx>
            <c:v>Sugar added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16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37B-43A2-B0C6-BDB9650B28B2}"/>
            </c:ext>
          </c:extLst>
        </c:ser>
        <c:ser>
          <c:idx val="4"/>
          <c:order val="5"/>
          <c:tx>
            <c:v>Start MBR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42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37B-43A2-B0C6-BDB9650B2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  <c:extLst/>
      </c:scatterChart>
      <c:valAx>
        <c:axId val="60202277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  <c:majorUnit val="10"/>
        <c:minorUnit val="5"/>
      </c:valAx>
      <c:valAx>
        <c:axId val="60201785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N-Balance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6021237094449921"/>
          <c:y val="4.7549366004435933E-2"/>
          <c:w val="0.10157633916166973"/>
          <c:h val="0.186624246297926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'TOC-IC-pH'!$BV$163:$BV$193</c:f>
              <c:numCache>
                <c:formatCode>_(* #,##0.00_);_(* \(#,##0.00\);_(* "-"??_);_(@_)</c:formatCode>
                <c:ptCount val="31"/>
                <c:pt idx="1">
                  <c:v>56.466666666666661</c:v>
                </c:pt>
                <c:pt idx="3">
                  <c:v>97.7</c:v>
                </c:pt>
                <c:pt idx="5">
                  <c:v>48.3</c:v>
                </c:pt>
                <c:pt idx="7">
                  <c:v>42.3</c:v>
                </c:pt>
                <c:pt idx="30">
                  <c:v>15.054502589456021</c:v>
                </c:pt>
              </c:numCache>
            </c:numRef>
          </c:xVal>
          <c:yVal>
            <c:numRef>
              <c:f>'TOC-IC-pH'!$BW$163:$BW$193</c:f>
              <c:numCache>
                <c:formatCode>_(* #,##0.00_);_(* \(#,##0.00\);_(* "-"??_);_(@_)</c:formatCode>
                <c:ptCount val="31"/>
                <c:pt idx="1">
                  <c:v>89.55</c:v>
                </c:pt>
                <c:pt idx="3">
                  <c:v>270</c:v>
                </c:pt>
                <c:pt idx="5">
                  <c:v>83</c:v>
                </c:pt>
                <c:pt idx="7">
                  <c:v>156.5</c:v>
                </c:pt>
                <c:pt idx="30">
                  <c:v>18.192316784554436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D-48EE-98F2-04B4BB7A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973352"/>
        <c:axId val="912968432"/>
      </c:scatterChart>
      <c:valAx>
        <c:axId val="91297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68432"/>
        <c:crosses val="autoZero"/>
        <c:crossBetween val="midCat"/>
      </c:valAx>
      <c:valAx>
        <c:axId val="9129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7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S0</c:v>
          </c:tx>
          <c:spPr>
            <a:ln w="3175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'TOC-IC-pH'!$B$96:$B$154</c:f>
              <c:numCache>
                <c:formatCode>0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  <c:pt idx="58">
                  <c:v>138</c:v>
                </c:pt>
              </c:numCache>
            </c:numRef>
          </c:xVal>
          <c:yVal>
            <c:numRef>
              <c:f>'TOC-IC-pH'!$E$96:$E$154</c:f>
              <c:numCache>
                <c:formatCode>_(* #,##0.00_);_(* \(#,##0.00\);_(* "-"??_);_(@_)</c:formatCode>
                <c:ptCount val="59"/>
                <c:pt idx="1">
                  <c:v>22.408327972396048</c:v>
                </c:pt>
                <c:pt idx="2">
                  <c:v>22.197789344406104</c:v>
                </c:pt>
                <c:pt idx="3">
                  <c:v>20.53355989804588</c:v>
                </c:pt>
                <c:pt idx="4">
                  <c:v>21.410365335598982</c:v>
                </c:pt>
                <c:pt idx="5">
                  <c:v>21.947323704333051</c:v>
                </c:pt>
                <c:pt idx="6">
                  <c:v>25.432240311855079</c:v>
                </c:pt>
                <c:pt idx="7">
                  <c:v>27.55789956432011</c:v>
                </c:pt>
                <c:pt idx="8">
                  <c:v>23.645457717808537</c:v>
                </c:pt>
                <c:pt idx="9">
                  <c:v>23.359311387693381</c:v>
                </c:pt>
                <c:pt idx="10">
                  <c:v>26.167333390075747</c:v>
                </c:pt>
                <c:pt idx="11">
                  <c:v>13.234828496042217</c:v>
                </c:pt>
                <c:pt idx="12">
                  <c:v>18.738906088751289</c:v>
                </c:pt>
                <c:pt idx="13">
                  <c:v>18.982456140350877</c:v>
                </c:pt>
                <c:pt idx="14">
                  <c:v>18.892319277108435</c:v>
                </c:pt>
                <c:pt idx="15">
                  <c:v>20.182228915662648</c:v>
                </c:pt>
                <c:pt idx="17">
                  <c:v>18.210313819049368</c:v>
                </c:pt>
                <c:pt idx="18">
                  <c:v>11.143559718969556</c:v>
                </c:pt>
                <c:pt idx="19">
                  <c:v>12.011943793911007</c:v>
                </c:pt>
                <c:pt idx="20">
                  <c:v>14.093306288032455</c:v>
                </c:pt>
                <c:pt idx="21">
                  <c:v>14.222169192220498</c:v>
                </c:pt>
                <c:pt idx="22">
                  <c:v>20.811387900355875</c:v>
                </c:pt>
                <c:pt idx="23">
                  <c:v>27.069988137603801</c:v>
                </c:pt>
                <c:pt idx="24">
                  <c:v>20.701808986578488</c:v>
                </c:pt>
                <c:pt idx="25">
                  <c:v>20.732153277572461</c:v>
                </c:pt>
                <c:pt idx="26">
                  <c:v>12.972235383303325</c:v>
                </c:pt>
                <c:pt idx="27">
                  <c:v>22.826963702707893</c:v>
                </c:pt>
                <c:pt idx="28">
                  <c:v>16.811983867870172</c:v>
                </c:pt>
                <c:pt idx="29">
                  <c:v>13.938184284468559</c:v>
                </c:pt>
                <c:pt idx="30">
                  <c:v>18.986649550706034</c:v>
                </c:pt>
                <c:pt idx="31">
                  <c:v>18.570731707317073</c:v>
                </c:pt>
                <c:pt idx="32">
                  <c:v>13.977150192554557</c:v>
                </c:pt>
                <c:pt idx="33">
                  <c:v>10.380665427270978</c:v>
                </c:pt>
                <c:pt idx="34">
                  <c:v>14.022437335726647</c:v>
                </c:pt>
                <c:pt idx="35">
                  <c:v>13.357779344829797</c:v>
                </c:pt>
                <c:pt idx="36">
                  <c:v>13.56460728902748</c:v>
                </c:pt>
                <c:pt idx="37">
                  <c:v>16.574546871954784</c:v>
                </c:pt>
                <c:pt idx="38">
                  <c:v>15.550185149093744</c:v>
                </c:pt>
                <c:pt idx="39">
                  <c:v>17.734443716665108</c:v>
                </c:pt>
                <c:pt idx="40">
                  <c:v>18.953869186862541</c:v>
                </c:pt>
                <c:pt idx="41">
                  <c:v>19.461654135338343</c:v>
                </c:pt>
                <c:pt idx="42">
                  <c:v>21.633834586466165</c:v>
                </c:pt>
                <c:pt idx="43">
                  <c:v>21.218796992481202</c:v>
                </c:pt>
                <c:pt idx="44">
                  <c:v>31.690294438386044</c:v>
                </c:pt>
                <c:pt idx="45">
                  <c:v>27.284623773173394</c:v>
                </c:pt>
                <c:pt idx="46">
                  <c:v>35.889052659788284</c:v>
                </c:pt>
                <c:pt idx="47">
                  <c:v>37.505024788958863</c:v>
                </c:pt>
                <c:pt idx="48">
                  <c:v>31.740586895350397</c:v>
                </c:pt>
                <c:pt idx="49">
                  <c:v>34.924293179686451</c:v>
                </c:pt>
                <c:pt idx="50">
                  <c:v>26.568007010028236</c:v>
                </c:pt>
                <c:pt idx="51">
                  <c:v>30.049654366663415</c:v>
                </c:pt>
                <c:pt idx="52">
                  <c:v>36.071254745449231</c:v>
                </c:pt>
                <c:pt idx="53">
                  <c:v>26.311207834602826</c:v>
                </c:pt>
                <c:pt idx="54">
                  <c:v>25.440696409140369</c:v>
                </c:pt>
                <c:pt idx="55">
                  <c:v>40.275197195442601</c:v>
                </c:pt>
                <c:pt idx="56">
                  <c:v>41.316389132340056</c:v>
                </c:pt>
                <c:pt idx="57">
                  <c:v>34.476336090068806</c:v>
                </c:pt>
                <c:pt idx="58">
                  <c:v>46.691700513449298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B-4548-8EC7-28C5EDC9A0E9}"/>
            </c:ext>
          </c:extLst>
        </c:ser>
        <c:ser>
          <c:idx val="3"/>
          <c:order val="3"/>
          <c:tx>
            <c:v>Sugar added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16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3DB-4548-8EC7-28C5EDC9A0E9}"/>
            </c:ext>
          </c:extLst>
        </c:ser>
        <c:ser>
          <c:idx val="4"/>
          <c:order val="4"/>
          <c:tx>
            <c:v>Start MBR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42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3DB-4548-8EC7-28C5EDC9A0E9}"/>
            </c:ext>
          </c:extLst>
        </c:ser>
        <c:ser>
          <c:idx val="6"/>
          <c:order val="6"/>
          <c:tx>
            <c:v>S0_Cell test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'TOC-IC-pH'!$B$96:$B$154</c:f>
              <c:numCache>
                <c:formatCode>0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  <c:pt idx="58">
                  <c:v>138</c:v>
                </c:pt>
              </c:numCache>
            </c:numRef>
          </c:xVal>
          <c:yVal>
            <c:numRef>
              <c:f>'TOC-IC-pH'!$X$96:$X$154</c:f>
              <c:numCache>
                <c:formatCode>_(* #,##0.00_);_(* \(#,##0.00\);_(* "-"??_);_(@_)</c:formatCode>
                <c:ptCount val="59"/>
                <c:pt idx="0">
                  <c:v>73</c:v>
                </c:pt>
                <c:pt idx="1">
                  <c:v>53</c:v>
                </c:pt>
                <c:pt idx="52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DB-4548-8EC7-28C5EDC9A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S2</c:v>
                </c:tx>
                <c:spPr>
                  <a:ln w="3175" cap="rnd">
                    <a:solidFill>
                      <a:srgbClr val="00B0F0">
                        <a:alpha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B0F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'TOC-IC-pH'!$B$96:$B$154</c15:sqref>
                        </c15:formulaRef>
                      </c:ext>
                    </c:extLst>
                    <c:numCache>
                      <c:formatCode>0</c:formatCode>
                      <c:ptCount val="5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16</c:v>
                      </c:pt>
                      <c:pt idx="10">
                        <c:v>19</c:v>
                      </c:pt>
                      <c:pt idx="11">
                        <c:v>21</c:v>
                      </c:pt>
                      <c:pt idx="12">
                        <c:v>23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33</c:v>
                      </c:pt>
                      <c:pt idx="17">
                        <c:v>36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43</c:v>
                      </c:pt>
                      <c:pt idx="21">
                        <c:v>44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51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63</c:v>
                      </c:pt>
                      <c:pt idx="30">
                        <c:v>65</c:v>
                      </c:pt>
                      <c:pt idx="31">
                        <c:v>68</c:v>
                      </c:pt>
                      <c:pt idx="32">
                        <c:v>69</c:v>
                      </c:pt>
                      <c:pt idx="33">
                        <c:v>70</c:v>
                      </c:pt>
                      <c:pt idx="34">
                        <c:v>71</c:v>
                      </c:pt>
                      <c:pt idx="35">
                        <c:v>72</c:v>
                      </c:pt>
                      <c:pt idx="36">
                        <c:v>76</c:v>
                      </c:pt>
                      <c:pt idx="37">
                        <c:v>77</c:v>
                      </c:pt>
                      <c:pt idx="38">
                        <c:v>79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89</c:v>
                      </c:pt>
                      <c:pt idx="43">
                        <c:v>91</c:v>
                      </c:pt>
                      <c:pt idx="44">
                        <c:v>96</c:v>
                      </c:pt>
                      <c:pt idx="45">
                        <c:v>98</c:v>
                      </c:pt>
                      <c:pt idx="46">
                        <c:v>100</c:v>
                      </c:pt>
                      <c:pt idx="47">
                        <c:v>103</c:v>
                      </c:pt>
                      <c:pt idx="48">
                        <c:v>105</c:v>
                      </c:pt>
                      <c:pt idx="49">
                        <c:v>107</c:v>
                      </c:pt>
                      <c:pt idx="50">
                        <c:v>110</c:v>
                      </c:pt>
                      <c:pt idx="51">
                        <c:v>113</c:v>
                      </c:pt>
                      <c:pt idx="52">
                        <c:v>117</c:v>
                      </c:pt>
                      <c:pt idx="53">
                        <c:v>120</c:v>
                      </c:pt>
                      <c:pt idx="54">
                        <c:v>124</c:v>
                      </c:pt>
                      <c:pt idx="55">
                        <c:v>127</c:v>
                      </c:pt>
                      <c:pt idx="56">
                        <c:v>131</c:v>
                      </c:pt>
                      <c:pt idx="57">
                        <c:v>134</c:v>
                      </c:pt>
                      <c:pt idx="58">
                        <c:v>138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'TOC-IC-pH'!$BF$96:$BF$154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9"/>
                      <c:pt idx="0">
                        <c:v>18.632668577109769</c:v>
                      </c:pt>
                      <c:pt idx="2">
                        <c:v>18.801099479501723</c:v>
                      </c:pt>
                      <c:pt idx="3">
                        <c:v>13.549702633814784</c:v>
                      </c:pt>
                      <c:pt idx="4">
                        <c:v>12.547153780798642</c:v>
                      </c:pt>
                      <c:pt idx="5">
                        <c:v>14.779949022939679</c:v>
                      </c:pt>
                      <c:pt idx="6">
                        <c:v>15.175418481999541</c:v>
                      </c:pt>
                      <c:pt idx="7">
                        <c:v>17.768860353130016</c:v>
                      </c:pt>
                      <c:pt idx="8">
                        <c:v>14.621379551006166</c:v>
                      </c:pt>
                      <c:pt idx="9">
                        <c:v>13.790857275793879</c:v>
                      </c:pt>
                      <c:pt idx="10">
                        <c:v>16.66865265128947</c:v>
                      </c:pt>
                      <c:pt idx="11">
                        <c:v>13.817005702612988</c:v>
                      </c:pt>
                      <c:pt idx="12">
                        <c:v>15.027863777089783</c:v>
                      </c:pt>
                      <c:pt idx="13">
                        <c:v>19.958720330237355</c:v>
                      </c:pt>
                      <c:pt idx="14">
                        <c:v>13.538403614457833</c:v>
                      </c:pt>
                      <c:pt idx="15">
                        <c:v>15.998493975903614</c:v>
                      </c:pt>
                      <c:pt idx="19">
                        <c:v>10.907494145199061</c:v>
                      </c:pt>
                      <c:pt idx="20">
                        <c:v>14.879370003579524</c:v>
                      </c:pt>
                      <c:pt idx="21">
                        <c:v>12.057272401861352</c:v>
                      </c:pt>
                      <c:pt idx="22">
                        <c:v>15.164887307236064</c:v>
                      </c:pt>
                      <c:pt idx="23">
                        <c:v>19.039145907473312</c:v>
                      </c:pt>
                      <c:pt idx="24">
                        <c:v>15.344874538027625</c:v>
                      </c:pt>
                      <c:pt idx="25">
                        <c:v>13.787978992413928</c:v>
                      </c:pt>
                      <c:pt idx="26">
                        <c:v>13.829621908462052</c:v>
                      </c:pt>
                      <c:pt idx="27">
                        <c:v>12.585365853658539</c:v>
                      </c:pt>
                      <c:pt idx="28">
                        <c:v>12.624543883234105</c:v>
                      </c:pt>
                      <c:pt idx="29">
                        <c:v>14.956690243193487</c:v>
                      </c:pt>
                      <c:pt idx="30">
                        <c:v>15.490629011553272</c:v>
                      </c:pt>
                      <c:pt idx="31">
                        <c:v>14.240564826700899</c:v>
                      </c:pt>
                      <c:pt idx="32">
                        <c:v>13.207702182284979</c:v>
                      </c:pt>
                      <c:pt idx="33">
                        <c:v>12.46695300980832</c:v>
                      </c:pt>
                      <c:pt idx="34">
                        <c:v>12.64234886851721</c:v>
                      </c:pt>
                      <c:pt idx="35">
                        <c:v>14.823257901147507</c:v>
                      </c:pt>
                      <c:pt idx="36">
                        <c:v>14.270902358214775</c:v>
                      </c:pt>
                      <c:pt idx="37">
                        <c:v>15.879945429740793</c:v>
                      </c:pt>
                      <c:pt idx="38">
                        <c:v>16.749951276554281</c:v>
                      </c:pt>
                      <c:pt idx="39">
                        <c:v>20.903153363900067</c:v>
                      </c:pt>
                      <c:pt idx="40">
                        <c:v>19.908299803499578</c:v>
                      </c:pt>
                      <c:pt idx="41">
                        <c:v>22.466165413533833</c:v>
                      </c:pt>
                      <c:pt idx="42">
                        <c:v>23.729323308270676</c:v>
                      </c:pt>
                      <c:pt idx="43">
                        <c:v>21.045112781954888</c:v>
                      </c:pt>
                      <c:pt idx="44">
                        <c:v>29.792802617230105</c:v>
                      </c:pt>
                      <c:pt idx="45">
                        <c:v>32.955288985823337</c:v>
                      </c:pt>
                      <c:pt idx="46">
                        <c:v>38.300951360042873</c:v>
                      </c:pt>
                      <c:pt idx="47">
                        <c:v>34.948412166688996</c:v>
                      </c:pt>
                      <c:pt idx="48">
                        <c:v>29.642235026128898</c:v>
                      </c:pt>
                      <c:pt idx="49">
                        <c:v>26.410290767787746</c:v>
                      </c:pt>
                      <c:pt idx="50">
                        <c:v>21.415636257423813</c:v>
                      </c:pt>
                      <c:pt idx="51">
                        <c:v>36.21847921331905</c:v>
                      </c:pt>
                      <c:pt idx="52">
                        <c:v>35.931081475713029</c:v>
                      </c:pt>
                      <c:pt idx="53">
                        <c:v>24.047878128400438</c:v>
                      </c:pt>
                      <c:pt idx="54">
                        <c:v>31.969532100108811</c:v>
                      </c:pt>
                      <c:pt idx="55">
                        <c:v>46.758983347940408</c:v>
                      </c:pt>
                      <c:pt idx="56">
                        <c:v>48.273444347063986</c:v>
                      </c:pt>
                      <c:pt idx="57">
                        <c:v>49.120856209604561</c:v>
                      </c:pt>
                      <c:pt idx="58">
                        <c:v>48.058855084680815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3DB-4548-8EC7-28C5EDC9A0E9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v>S4</c:v>
                </c:tx>
                <c:spPr>
                  <a:ln w="3175" cap="rnd">
                    <a:solidFill>
                      <a:schemeClr val="tx1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'TOC-IC-pH'!$B$96:$B$154</c15:sqref>
                        </c15:formulaRef>
                      </c:ext>
                    </c:extLst>
                    <c:numCache>
                      <c:formatCode>0</c:formatCode>
                      <c:ptCount val="5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16</c:v>
                      </c:pt>
                      <c:pt idx="10">
                        <c:v>19</c:v>
                      </c:pt>
                      <c:pt idx="11">
                        <c:v>21</c:v>
                      </c:pt>
                      <c:pt idx="12">
                        <c:v>23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33</c:v>
                      </c:pt>
                      <c:pt idx="17">
                        <c:v>36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43</c:v>
                      </c:pt>
                      <c:pt idx="21">
                        <c:v>44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51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63</c:v>
                      </c:pt>
                      <c:pt idx="30">
                        <c:v>65</c:v>
                      </c:pt>
                      <c:pt idx="31">
                        <c:v>68</c:v>
                      </c:pt>
                      <c:pt idx="32">
                        <c:v>69</c:v>
                      </c:pt>
                      <c:pt idx="33">
                        <c:v>70</c:v>
                      </c:pt>
                      <c:pt idx="34">
                        <c:v>71</c:v>
                      </c:pt>
                      <c:pt idx="35">
                        <c:v>72</c:v>
                      </c:pt>
                      <c:pt idx="36">
                        <c:v>76</c:v>
                      </c:pt>
                      <c:pt idx="37">
                        <c:v>77</c:v>
                      </c:pt>
                      <c:pt idx="38">
                        <c:v>79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89</c:v>
                      </c:pt>
                      <c:pt idx="43">
                        <c:v>91</c:v>
                      </c:pt>
                      <c:pt idx="44">
                        <c:v>96</c:v>
                      </c:pt>
                      <c:pt idx="45">
                        <c:v>98</c:v>
                      </c:pt>
                      <c:pt idx="46">
                        <c:v>100</c:v>
                      </c:pt>
                      <c:pt idx="47">
                        <c:v>103</c:v>
                      </c:pt>
                      <c:pt idx="48">
                        <c:v>105</c:v>
                      </c:pt>
                      <c:pt idx="49">
                        <c:v>107</c:v>
                      </c:pt>
                      <c:pt idx="50">
                        <c:v>110</c:v>
                      </c:pt>
                      <c:pt idx="51">
                        <c:v>113</c:v>
                      </c:pt>
                      <c:pt idx="52">
                        <c:v>117</c:v>
                      </c:pt>
                      <c:pt idx="53">
                        <c:v>120</c:v>
                      </c:pt>
                      <c:pt idx="54">
                        <c:v>124</c:v>
                      </c:pt>
                      <c:pt idx="55">
                        <c:v>127</c:v>
                      </c:pt>
                      <c:pt idx="56">
                        <c:v>131</c:v>
                      </c:pt>
                      <c:pt idx="57">
                        <c:v>134</c:v>
                      </c:pt>
                      <c:pt idx="58">
                        <c:v>138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'TOC-IC-pH'!$DE$96:$DE$154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9"/>
                      <c:pt idx="19">
                        <c:v>42.639344262295076</c:v>
                      </c:pt>
                      <c:pt idx="20">
                        <c:v>105.25951557093424</c:v>
                      </c:pt>
                      <c:pt idx="21">
                        <c:v>113.03424412361295</c:v>
                      </c:pt>
                      <c:pt idx="22">
                        <c:v>96.536180308422303</c:v>
                      </c:pt>
                      <c:pt idx="23">
                        <c:v>100.06613499319198</c:v>
                      </c:pt>
                      <c:pt idx="24">
                        <c:v>123.26784672242755</c:v>
                      </c:pt>
                      <c:pt idx="25">
                        <c:v>120.84030344290994</c:v>
                      </c:pt>
                      <c:pt idx="26">
                        <c:v>94.972045863735431</c:v>
                      </c:pt>
                      <c:pt idx="27">
                        <c:v>82.896101401958902</c:v>
                      </c:pt>
                      <c:pt idx="28">
                        <c:v>84.555406183983095</c:v>
                      </c:pt>
                      <c:pt idx="29">
                        <c:v>90.712140296482886</c:v>
                      </c:pt>
                      <c:pt idx="30">
                        <c:v>80.734274711168155</c:v>
                      </c:pt>
                      <c:pt idx="31">
                        <c:v>13.313992297817713</c:v>
                      </c:pt>
                      <c:pt idx="32">
                        <c:v>50.002567394094996</c:v>
                      </c:pt>
                      <c:pt idx="33">
                        <c:v>63.557920379511508</c:v>
                      </c:pt>
                      <c:pt idx="34">
                        <c:v>74.727867170972502</c:v>
                      </c:pt>
                      <c:pt idx="35">
                        <c:v>80.335918969164695</c:v>
                      </c:pt>
                      <c:pt idx="36">
                        <c:v>81.90216332099007</c:v>
                      </c:pt>
                      <c:pt idx="37">
                        <c:v>86.18203079321772</c:v>
                      </c:pt>
                      <c:pt idx="38">
                        <c:v>82.159423114402671</c:v>
                      </c:pt>
                      <c:pt idx="39">
                        <c:v>100.63067278001311</c:v>
                      </c:pt>
                      <c:pt idx="40">
                        <c:v>94.095630204921861</c:v>
                      </c:pt>
                      <c:pt idx="41">
                        <c:v>66.609022556390983</c:v>
                      </c:pt>
                      <c:pt idx="43">
                        <c:v>62.706766917293237</c:v>
                      </c:pt>
                      <c:pt idx="44">
                        <c:v>75.223555070883322</c:v>
                      </c:pt>
                      <c:pt idx="45">
                        <c:v>76.68484187568157</c:v>
                      </c:pt>
                      <c:pt idx="46">
                        <c:v>65.748358568940091</c:v>
                      </c:pt>
                      <c:pt idx="47">
                        <c:v>72.308723033632575</c:v>
                      </c:pt>
                      <c:pt idx="48">
                        <c:v>49.902184108267456</c:v>
                      </c:pt>
                      <c:pt idx="49">
                        <c:v>39.072758944124338</c:v>
                      </c:pt>
                      <c:pt idx="50">
                        <c:v>66.361600623113603</c:v>
                      </c:pt>
                      <c:pt idx="51">
                        <c:v>80.84899230844124</c:v>
                      </c:pt>
                      <c:pt idx="52">
                        <c:v>102.20967584931373</c:v>
                      </c:pt>
                      <c:pt idx="53">
                        <c:v>65.092491838955397</c:v>
                      </c:pt>
                      <c:pt idx="54">
                        <c:v>72.208922742110985</c:v>
                      </c:pt>
                      <c:pt idx="55">
                        <c:v>71.510955302366355</c:v>
                      </c:pt>
                      <c:pt idx="56">
                        <c:v>75.013146362839606</c:v>
                      </c:pt>
                      <c:pt idx="57">
                        <c:v>77.192299673361603</c:v>
                      </c:pt>
                      <c:pt idx="58">
                        <c:v>69.062763430147896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3DB-4548-8EC7-28C5EDC9A0E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TOC/TN fixed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percentage"/>
                  <c:noEndCap val="0"/>
                  <c:val val="100"/>
                  <c:spPr>
                    <a:noFill/>
                    <a:ln w="12700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prstDash val="lgDash"/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0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Lit>
                    <c:formatCode>General</c:formatCode>
                    <c:ptCount val="1"/>
                    <c:pt idx="0">
                      <c:v>127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100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DB-4548-8EC7-28C5EDC9A0E9}"/>
                  </c:ext>
                </c:extLst>
              </c15:ser>
            </c15:filteredScatterSeries>
          </c:ext>
        </c:extLst>
      </c:scatterChart>
      <c:valAx>
        <c:axId val="60202277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  <c:majorUnit val="10"/>
        <c:minorUnit val="5"/>
      </c:valAx>
      <c:valAx>
        <c:axId val="602017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8912570895344791"/>
          <c:y val="0.10620782157005661"/>
          <c:w val="0.1364321747517051"/>
          <c:h val="4.8869873504170498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1"/>
          <c:tx>
            <c:v>S0_NH4-N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'TOC-IC-pH'!$B$96:$B$153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</c:numCache>
            </c:numRef>
          </c:xVal>
          <c:yVal>
            <c:numRef>
              <c:f>'TOC-IC-pH'!$O$96:$O$153</c:f>
              <c:numCache>
                <c:formatCode>_(* #,##0.00_);_(* \(#,##0.00\);_(* "-"??_);_(@_)</c:formatCode>
                <c:ptCount val="58"/>
                <c:pt idx="0">
                  <c:v>29.522929510971689</c:v>
                </c:pt>
                <c:pt idx="1">
                  <c:v>31.474461509791439</c:v>
                </c:pt>
                <c:pt idx="2">
                  <c:v>31.661981892441727</c:v>
                </c:pt>
                <c:pt idx="13">
                  <c:v>38.737890764524089</c:v>
                </c:pt>
                <c:pt idx="14">
                  <c:v>60.174296895625304</c:v>
                </c:pt>
                <c:pt idx="15">
                  <c:v>60.024070939387819</c:v>
                </c:pt>
                <c:pt idx="16">
                  <c:v>46.616107340860033</c:v>
                </c:pt>
                <c:pt idx="17">
                  <c:v>36.426443868122313</c:v>
                </c:pt>
                <c:pt idx="18">
                  <c:v>35.253241811998201</c:v>
                </c:pt>
                <c:pt idx="19">
                  <c:v>34.616518876275371</c:v>
                </c:pt>
                <c:pt idx="20">
                  <c:v>42.87414004627832</c:v>
                </c:pt>
                <c:pt idx="21">
                  <c:v>40.621410712344506</c:v>
                </c:pt>
                <c:pt idx="22">
                  <c:v>68.024777537931143</c:v>
                </c:pt>
                <c:pt idx="23">
                  <c:v>48.64427033994378</c:v>
                </c:pt>
                <c:pt idx="24">
                  <c:v>47.787795257248462</c:v>
                </c:pt>
                <c:pt idx="25">
                  <c:v>41.338359759601197</c:v>
                </c:pt>
                <c:pt idx="26">
                  <c:v>44.410013510785333</c:v>
                </c:pt>
                <c:pt idx="27">
                  <c:v>135.42776388737906</c:v>
                </c:pt>
                <c:pt idx="28">
                  <c:v>49.85024769773112</c:v>
                </c:pt>
                <c:pt idx="44">
                  <c:v>51.124501110369138</c:v>
                </c:pt>
                <c:pt idx="45">
                  <c:v>70.754352181137705</c:v>
                </c:pt>
                <c:pt idx="46">
                  <c:v>32.703710030593392</c:v>
                </c:pt>
                <c:pt idx="47">
                  <c:v>56.951454350628175</c:v>
                </c:pt>
                <c:pt idx="48">
                  <c:v>48.457673970773222</c:v>
                </c:pt>
                <c:pt idx="49">
                  <c:v>54.268942276334386</c:v>
                </c:pt>
                <c:pt idx="50">
                  <c:v>52.677231997266787</c:v>
                </c:pt>
                <c:pt idx="51">
                  <c:v>46.79724504216297</c:v>
                </c:pt>
                <c:pt idx="52">
                  <c:v>41.777056512353823</c:v>
                </c:pt>
                <c:pt idx="53">
                  <c:v>42.064199524793068</c:v>
                </c:pt>
                <c:pt idx="54">
                  <c:v>46.354883294768065</c:v>
                </c:pt>
                <c:pt idx="55">
                  <c:v>52.633360769027696</c:v>
                </c:pt>
                <c:pt idx="56">
                  <c:v>50.099777926172102</c:v>
                </c:pt>
                <c:pt idx="57">
                  <c:v>38.97830509527433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3-4DE0-873C-585D79495A5F}"/>
            </c:ext>
          </c:extLst>
        </c:ser>
        <c:ser>
          <c:idx val="3"/>
          <c:order val="4"/>
          <c:tx>
            <c:v>Sugar added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16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313-4DE0-873C-585D79495A5F}"/>
            </c:ext>
          </c:extLst>
        </c:ser>
        <c:ser>
          <c:idx val="4"/>
          <c:order val="5"/>
          <c:tx>
            <c:v>Start MBR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42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313-4DE0-873C-585D79495A5F}"/>
            </c:ext>
          </c:extLst>
        </c:ser>
        <c:ser>
          <c:idx val="6"/>
          <c:order val="6"/>
          <c:tx>
            <c:v>S2_NH4_N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'TOC-IC-pH'!$B$96:$B$154</c:f>
              <c:numCache>
                <c:formatCode>0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  <c:pt idx="58">
                  <c:v>138</c:v>
                </c:pt>
              </c:numCache>
            </c:numRef>
          </c:xVal>
          <c:yVal>
            <c:numRef>
              <c:f>'TOC-IC-pH'!$BP$96:$BP$154</c:f>
              <c:numCache>
                <c:formatCode>_(* #,##0.00_);_(* \(#,##0.00\);_(* "-"??_);_(@_)</c:formatCode>
                <c:ptCount val="59"/>
                <c:pt idx="13">
                  <c:v>76.518231795381482</c:v>
                </c:pt>
                <c:pt idx="14">
                  <c:v>62.413872625906542</c:v>
                </c:pt>
                <c:pt idx="15">
                  <c:v>65.881819452424949</c:v>
                </c:pt>
                <c:pt idx="16">
                  <c:v>64.297695401674105</c:v>
                </c:pt>
                <c:pt idx="17">
                  <c:v>47.983251285077571</c:v>
                </c:pt>
                <c:pt idx="18">
                  <c:v>46.433129377416805</c:v>
                </c:pt>
                <c:pt idx="19">
                  <c:v>50.931848182255841</c:v>
                </c:pt>
                <c:pt idx="20">
                  <c:v>53.515840231081022</c:v>
                </c:pt>
                <c:pt idx="21">
                  <c:v>53.161275293898406</c:v>
                </c:pt>
                <c:pt idx="22">
                  <c:v>68.066963800413092</c:v>
                </c:pt>
                <c:pt idx="23">
                  <c:v>74.141715714441006</c:v>
                </c:pt>
                <c:pt idx="24">
                  <c:v>75.241447051698174</c:v>
                </c:pt>
                <c:pt idx="25">
                  <c:v>59.862609289829642</c:v>
                </c:pt>
                <c:pt idx="26">
                  <c:v>54.803449132669705</c:v>
                </c:pt>
                <c:pt idx="27">
                  <c:v>57.814700355628716</c:v>
                </c:pt>
                <c:pt idx="28">
                  <c:v>61.815406954172033</c:v>
                </c:pt>
                <c:pt idx="44">
                  <c:v>71.82279129719069</c:v>
                </c:pt>
                <c:pt idx="45">
                  <c:v>75.141552653238705</c:v>
                </c:pt>
                <c:pt idx="46">
                  <c:v>60.057304365381327</c:v>
                </c:pt>
                <c:pt idx="47">
                  <c:v>65.9532868479493</c:v>
                </c:pt>
                <c:pt idx="48">
                  <c:v>47.308403087292099</c:v>
                </c:pt>
                <c:pt idx="49">
                  <c:v>41.299753078750797</c:v>
                </c:pt>
                <c:pt idx="50">
                  <c:v>60.540043172394519</c:v>
                </c:pt>
                <c:pt idx="51">
                  <c:v>63.326370878822225</c:v>
                </c:pt>
                <c:pt idx="52">
                  <c:v>68.92301958287392</c:v>
                </c:pt>
                <c:pt idx="53">
                  <c:v>51.548460236361102</c:v>
                </c:pt>
                <c:pt idx="54">
                  <c:v>64.193623530507978</c:v>
                </c:pt>
                <c:pt idx="55">
                  <c:v>67.471308993213555</c:v>
                </c:pt>
                <c:pt idx="56">
                  <c:v>71.875825012035477</c:v>
                </c:pt>
                <c:pt idx="57">
                  <c:v>71.215970680042858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13-4DE0-873C-585D79495A5F}"/>
            </c:ext>
          </c:extLst>
        </c:ser>
        <c:ser>
          <c:idx val="7"/>
          <c:order val="7"/>
          <c:tx>
            <c:v>S4_NO3_N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'TOC-IC-pH'!$B$96:$B$154</c:f>
              <c:numCache>
                <c:formatCode>0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  <c:pt idx="58">
                  <c:v>138</c:v>
                </c:pt>
              </c:numCache>
            </c:numRef>
          </c:xVal>
          <c:yVal>
            <c:numRef>
              <c:f>'TOC-IC-pH'!$DK$96:$DK$154</c:f>
              <c:numCache>
                <c:formatCode>_-* #\ ##0.0_-;\-* #\ ##0.0_-;_-* "-"??_-;_-@_-</c:formatCode>
                <c:ptCount val="59"/>
                <c:pt idx="19">
                  <c:v>45.375719759999996</c:v>
                </c:pt>
                <c:pt idx="20">
                  <c:v>104.5822122</c:v>
                </c:pt>
                <c:pt idx="21">
                  <c:v>106.72914321</c:v>
                </c:pt>
                <c:pt idx="22">
                  <c:v>92.441645909999991</c:v>
                </c:pt>
                <c:pt idx="23">
                  <c:v>97.855294229999998</c:v>
                </c:pt>
                <c:pt idx="24">
                  <c:v>118.62630225000001</c:v>
                </c:pt>
                <c:pt idx="25">
                  <c:v>118.90009305000001</c:v>
                </c:pt>
                <c:pt idx="26">
                  <c:v>87.709153860000001</c:v>
                </c:pt>
                <c:pt idx="27">
                  <c:v>79.758467819999993</c:v>
                </c:pt>
                <c:pt idx="28">
                  <c:v>80.147557979999988</c:v>
                </c:pt>
                <c:pt idx="30">
                  <c:v>94.751270099999999</c:v>
                </c:pt>
                <c:pt idx="31">
                  <c:v>0.90213164999999995</c:v>
                </c:pt>
                <c:pt idx="32">
                  <c:v>77.567508899999993</c:v>
                </c:pt>
                <c:pt idx="33">
                  <c:v>63.792623879999994</c:v>
                </c:pt>
                <c:pt idx="34">
                  <c:v>87.165435149999993</c:v>
                </c:pt>
                <c:pt idx="35">
                  <c:v>70.482290939999999</c:v>
                </c:pt>
                <c:pt idx="36">
                  <c:v>80.38915802999999</c:v>
                </c:pt>
                <c:pt idx="37">
                  <c:v>99.193887269999991</c:v>
                </c:pt>
                <c:pt idx="38">
                  <c:v>89.232962309999991</c:v>
                </c:pt>
                <c:pt idx="39">
                  <c:v>110.58216137999999</c:v>
                </c:pt>
                <c:pt idx="40">
                  <c:v>144.66317480999999</c:v>
                </c:pt>
                <c:pt idx="41">
                  <c:v>95.38494218999999</c:v>
                </c:pt>
                <c:pt idx="43">
                  <c:v>64.250252099999997</c:v>
                </c:pt>
                <c:pt idx="44">
                  <c:v>95.933020769999999</c:v>
                </c:pt>
                <c:pt idx="45">
                  <c:v>82.360948769999993</c:v>
                </c:pt>
                <c:pt idx="46">
                  <c:v>81.796492440000009</c:v>
                </c:pt>
                <c:pt idx="47">
                  <c:v>82.10288061</c:v>
                </c:pt>
                <c:pt idx="48">
                  <c:v>56.502198359999994</c:v>
                </c:pt>
                <c:pt idx="49">
                  <c:v>43.044092910000003</c:v>
                </c:pt>
                <c:pt idx="50">
                  <c:v>68.236347959999989</c:v>
                </c:pt>
                <c:pt idx="51">
                  <c:v>86.875153650000001</c:v>
                </c:pt>
                <c:pt idx="52">
                  <c:v>104.7403422</c:v>
                </c:pt>
                <c:pt idx="53">
                  <c:v>73.441513169999993</c:v>
                </c:pt>
                <c:pt idx="54">
                  <c:v>77.547833010000005</c:v>
                </c:pt>
                <c:pt idx="55">
                  <c:v>84.694834619999995</c:v>
                </c:pt>
                <c:pt idx="56">
                  <c:v>83.159821530000002</c:v>
                </c:pt>
                <c:pt idx="57">
                  <c:v>81.561804929999994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13-4DE0-873C-585D79495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S0_TN</c:v>
                </c:tx>
                <c:spPr>
                  <a:ln w="3175" cap="rnd">
                    <a:solidFill>
                      <a:srgbClr val="FF0000">
                        <a:alpha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FF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'TOC-IC-pH'!$B$96:$B$153</c15:sqref>
                        </c15:formulaRef>
                      </c:ext>
                    </c:extLst>
                    <c:numCache>
                      <c:formatCode>0</c:formatCode>
                      <c:ptCount val="5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16</c:v>
                      </c:pt>
                      <c:pt idx="10">
                        <c:v>19</c:v>
                      </c:pt>
                      <c:pt idx="11">
                        <c:v>21</c:v>
                      </c:pt>
                      <c:pt idx="12">
                        <c:v>23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33</c:v>
                      </c:pt>
                      <c:pt idx="17">
                        <c:v>36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43</c:v>
                      </c:pt>
                      <c:pt idx="21">
                        <c:v>44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51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63</c:v>
                      </c:pt>
                      <c:pt idx="30">
                        <c:v>65</c:v>
                      </c:pt>
                      <c:pt idx="31">
                        <c:v>68</c:v>
                      </c:pt>
                      <c:pt idx="32">
                        <c:v>69</c:v>
                      </c:pt>
                      <c:pt idx="33">
                        <c:v>70</c:v>
                      </c:pt>
                      <c:pt idx="34">
                        <c:v>71</c:v>
                      </c:pt>
                      <c:pt idx="35">
                        <c:v>72</c:v>
                      </c:pt>
                      <c:pt idx="36">
                        <c:v>76</c:v>
                      </c:pt>
                      <c:pt idx="37">
                        <c:v>77</c:v>
                      </c:pt>
                      <c:pt idx="38">
                        <c:v>79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89</c:v>
                      </c:pt>
                      <c:pt idx="43">
                        <c:v>91</c:v>
                      </c:pt>
                      <c:pt idx="44">
                        <c:v>96</c:v>
                      </c:pt>
                      <c:pt idx="45">
                        <c:v>98</c:v>
                      </c:pt>
                      <c:pt idx="46">
                        <c:v>100</c:v>
                      </c:pt>
                      <c:pt idx="47">
                        <c:v>103</c:v>
                      </c:pt>
                      <c:pt idx="48">
                        <c:v>105</c:v>
                      </c:pt>
                      <c:pt idx="49">
                        <c:v>107</c:v>
                      </c:pt>
                      <c:pt idx="50">
                        <c:v>110</c:v>
                      </c:pt>
                      <c:pt idx="51">
                        <c:v>113</c:v>
                      </c:pt>
                      <c:pt idx="52">
                        <c:v>117</c:v>
                      </c:pt>
                      <c:pt idx="53">
                        <c:v>120</c:v>
                      </c:pt>
                      <c:pt idx="54">
                        <c:v>124</c:v>
                      </c:pt>
                      <c:pt idx="55">
                        <c:v>127</c:v>
                      </c:pt>
                      <c:pt idx="56">
                        <c:v>131</c:v>
                      </c:pt>
                      <c:pt idx="57">
                        <c:v>134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'TOC-IC-pH'!$E$96:$E$153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8"/>
                      <c:pt idx="1">
                        <c:v>22.408327972396048</c:v>
                      </c:pt>
                      <c:pt idx="2">
                        <c:v>22.197789344406104</c:v>
                      </c:pt>
                      <c:pt idx="3">
                        <c:v>20.53355989804588</c:v>
                      </c:pt>
                      <c:pt idx="4">
                        <c:v>21.410365335598982</c:v>
                      </c:pt>
                      <c:pt idx="5">
                        <c:v>21.947323704333051</c:v>
                      </c:pt>
                      <c:pt idx="6">
                        <c:v>25.432240311855079</c:v>
                      </c:pt>
                      <c:pt idx="7">
                        <c:v>27.55789956432011</c:v>
                      </c:pt>
                      <c:pt idx="8">
                        <c:v>23.645457717808537</c:v>
                      </c:pt>
                      <c:pt idx="9">
                        <c:v>23.359311387693381</c:v>
                      </c:pt>
                      <c:pt idx="10">
                        <c:v>26.167333390075747</c:v>
                      </c:pt>
                      <c:pt idx="11">
                        <c:v>13.234828496042217</c:v>
                      </c:pt>
                      <c:pt idx="12">
                        <c:v>18.738906088751289</c:v>
                      </c:pt>
                      <c:pt idx="13">
                        <c:v>18.982456140350877</c:v>
                      </c:pt>
                      <c:pt idx="14">
                        <c:v>18.892319277108435</c:v>
                      </c:pt>
                      <c:pt idx="15">
                        <c:v>20.182228915662648</c:v>
                      </c:pt>
                      <c:pt idx="17">
                        <c:v>18.210313819049368</c:v>
                      </c:pt>
                      <c:pt idx="18">
                        <c:v>11.143559718969556</c:v>
                      </c:pt>
                      <c:pt idx="19">
                        <c:v>12.011943793911007</c:v>
                      </c:pt>
                      <c:pt idx="20">
                        <c:v>14.093306288032455</c:v>
                      </c:pt>
                      <c:pt idx="21">
                        <c:v>14.222169192220498</c:v>
                      </c:pt>
                      <c:pt idx="22">
                        <c:v>20.811387900355875</c:v>
                      </c:pt>
                      <c:pt idx="23">
                        <c:v>27.069988137603801</c:v>
                      </c:pt>
                      <c:pt idx="24">
                        <c:v>20.701808986578488</c:v>
                      </c:pt>
                      <c:pt idx="25">
                        <c:v>20.732153277572461</c:v>
                      </c:pt>
                      <c:pt idx="26">
                        <c:v>12.972235383303325</c:v>
                      </c:pt>
                      <c:pt idx="27">
                        <c:v>22.826963702707893</c:v>
                      </c:pt>
                      <c:pt idx="28">
                        <c:v>16.811983867870172</c:v>
                      </c:pt>
                      <c:pt idx="29">
                        <c:v>13.938184284468559</c:v>
                      </c:pt>
                      <c:pt idx="30">
                        <c:v>18.986649550706034</c:v>
                      </c:pt>
                      <c:pt idx="31">
                        <c:v>18.570731707317073</c:v>
                      </c:pt>
                      <c:pt idx="32">
                        <c:v>13.977150192554557</c:v>
                      </c:pt>
                      <c:pt idx="33">
                        <c:v>10.380665427270978</c:v>
                      </c:pt>
                      <c:pt idx="34">
                        <c:v>14.022437335726647</c:v>
                      </c:pt>
                      <c:pt idx="35">
                        <c:v>13.357779344829797</c:v>
                      </c:pt>
                      <c:pt idx="36">
                        <c:v>13.56460728902748</c:v>
                      </c:pt>
                      <c:pt idx="37">
                        <c:v>16.574546871954784</c:v>
                      </c:pt>
                      <c:pt idx="38">
                        <c:v>15.550185149093744</c:v>
                      </c:pt>
                      <c:pt idx="39">
                        <c:v>17.734443716665108</c:v>
                      </c:pt>
                      <c:pt idx="40">
                        <c:v>18.953869186862541</c:v>
                      </c:pt>
                      <c:pt idx="41">
                        <c:v>19.461654135338343</c:v>
                      </c:pt>
                      <c:pt idx="42">
                        <c:v>21.633834586466165</c:v>
                      </c:pt>
                      <c:pt idx="43">
                        <c:v>21.218796992481202</c:v>
                      </c:pt>
                      <c:pt idx="44">
                        <c:v>31.690294438386044</c:v>
                      </c:pt>
                      <c:pt idx="45">
                        <c:v>27.284623773173394</c:v>
                      </c:pt>
                      <c:pt idx="46">
                        <c:v>35.889052659788284</c:v>
                      </c:pt>
                      <c:pt idx="47">
                        <c:v>37.505024788958863</c:v>
                      </c:pt>
                      <c:pt idx="48">
                        <c:v>31.740586895350397</c:v>
                      </c:pt>
                      <c:pt idx="49">
                        <c:v>34.924293179686451</c:v>
                      </c:pt>
                      <c:pt idx="50">
                        <c:v>26.568007010028236</c:v>
                      </c:pt>
                      <c:pt idx="51">
                        <c:v>30.049654366663415</c:v>
                      </c:pt>
                      <c:pt idx="52">
                        <c:v>36.071254745449231</c:v>
                      </c:pt>
                      <c:pt idx="53">
                        <c:v>26.311207834602826</c:v>
                      </c:pt>
                      <c:pt idx="54">
                        <c:v>25.440696409140369</c:v>
                      </c:pt>
                      <c:pt idx="55">
                        <c:v>40.275197195442601</c:v>
                      </c:pt>
                      <c:pt idx="56">
                        <c:v>41.316389132340056</c:v>
                      </c:pt>
                      <c:pt idx="57">
                        <c:v>34.476336090068806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313-4DE0-873C-585D79495A5F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v>S0_NO3-N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rgbClr val="FFC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'TOC-IC-pH'!$B$96:$B$153</c15:sqref>
                        </c15:formulaRef>
                      </c:ext>
                    </c:extLst>
                    <c:numCache>
                      <c:formatCode>0</c:formatCode>
                      <c:ptCount val="5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16</c:v>
                      </c:pt>
                      <c:pt idx="10">
                        <c:v>19</c:v>
                      </c:pt>
                      <c:pt idx="11">
                        <c:v>21</c:v>
                      </c:pt>
                      <c:pt idx="12">
                        <c:v>23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33</c:v>
                      </c:pt>
                      <c:pt idx="17">
                        <c:v>36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43</c:v>
                      </c:pt>
                      <c:pt idx="21">
                        <c:v>44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51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63</c:v>
                      </c:pt>
                      <c:pt idx="30">
                        <c:v>65</c:v>
                      </c:pt>
                      <c:pt idx="31">
                        <c:v>68</c:v>
                      </c:pt>
                      <c:pt idx="32">
                        <c:v>69</c:v>
                      </c:pt>
                      <c:pt idx="33">
                        <c:v>70</c:v>
                      </c:pt>
                      <c:pt idx="34">
                        <c:v>71</c:v>
                      </c:pt>
                      <c:pt idx="35">
                        <c:v>72</c:v>
                      </c:pt>
                      <c:pt idx="36">
                        <c:v>76</c:v>
                      </c:pt>
                      <c:pt idx="37">
                        <c:v>77</c:v>
                      </c:pt>
                      <c:pt idx="38">
                        <c:v>79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89</c:v>
                      </c:pt>
                      <c:pt idx="43">
                        <c:v>91</c:v>
                      </c:pt>
                      <c:pt idx="44">
                        <c:v>96</c:v>
                      </c:pt>
                      <c:pt idx="45">
                        <c:v>98</c:v>
                      </c:pt>
                      <c:pt idx="46">
                        <c:v>100</c:v>
                      </c:pt>
                      <c:pt idx="47">
                        <c:v>103</c:v>
                      </c:pt>
                      <c:pt idx="48">
                        <c:v>105</c:v>
                      </c:pt>
                      <c:pt idx="49">
                        <c:v>107</c:v>
                      </c:pt>
                      <c:pt idx="50">
                        <c:v>110</c:v>
                      </c:pt>
                      <c:pt idx="51">
                        <c:v>113</c:v>
                      </c:pt>
                      <c:pt idx="52">
                        <c:v>117</c:v>
                      </c:pt>
                      <c:pt idx="53">
                        <c:v>120</c:v>
                      </c:pt>
                      <c:pt idx="54">
                        <c:v>124</c:v>
                      </c:pt>
                      <c:pt idx="55">
                        <c:v>127</c:v>
                      </c:pt>
                      <c:pt idx="56">
                        <c:v>131</c:v>
                      </c:pt>
                      <c:pt idx="57">
                        <c:v>134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'TOC-IC-pH'!$K$96:$K$153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8"/>
                      <c:pt idx="1">
                        <c:v>1.5925949999999998E-2</c:v>
                      </c:pt>
                      <c:pt idx="3">
                        <c:v>1.85238E-3</c:v>
                      </c:pt>
                      <c:pt idx="4">
                        <c:v>1.8207540000000001E-2</c:v>
                      </c:pt>
                      <c:pt idx="5">
                        <c:v>5.3086499999999998E-3</c:v>
                      </c:pt>
                      <c:pt idx="6">
                        <c:v>6.7318199999999995E-3</c:v>
                      </c:pt>
                      <c:pt idx="7">
                        <c:v>7.3236779999999987E-2</c:v>
                      </c:pt>
                      <c:pt idx="8">
                        <c:v>6.5194740000000001E-2</c:v>
                      </c:pt>
                      <c:pt idx="9">
                        <c:v>1.6084080000000001E-2</c:v>
                      </c:pt>
                      <c:pt idx="11">
                        <c:v>4.2243300000000001E-3</c:v>
                      </c:pt>
                      <c:pt idx="12">
                        <c:v>7.1723250000000002E-2</c:v>
                      </c:pt>
                      <c:pt idx="13">
                        <c:v>0.10472724</c:v>
                      </c:pt>
                      <c:pt idx="14">
                        <c:v>0.12666212999999998</c:v>
                      </c:pt>
                      <c:pt idx="17">
                        <c:v>5.7120464070000002E-2</c:v>
                      </c:pt>
                      <c:pt idx="18">
                        <c:v>3.9874038209999997E-2</c:v>
                      </c:pt>
                      <c:pt idx="19">
                        <c:v>5.908525190999999E-2</c:v>
                      </c:pt>
                      <c:pt idx="20">
                        <c:v>4.4629210619999998E-2</c:v>
                      </c:pt>
                      <c:pt idx="21">
                        <c:v>5.6801945069999991E-2</c:v>
                      </c:pt>
                      <c:pt idx="22">
                        <c:v>6.6037075919999993E-2</c:v>
                      </c:pt>
                      <c:pt idx="23">
                        <c:v>5.4023600970000002E-2</c:v>
                      </c:pt>
                      <c:pt idx="24">
                        <c:v>4.8851146079999998E-2</c:v>
                      </c:pt>
                      <c:pt idx="25">
                        <c:v>6.7709165129999999E-2</c:v>
                      </c:pt>
                      <c:pt idx="26">
                        <c:v>7.5587269499999998E-2</c:v>
                      </c:pt>
                      <c:pt idx="27">
                        <c:v>5.8769466300000003E-2</c:v>
                      </c:pt>
                      <c:pt idx="28">
                        <c:v>4.5086929199999994E-2</c:v>
                      </c:pt>
                      <c:pt idx="29">
                        <c:v>8.7423299999999995E-2</c:v>
                      </c:pt>
                      <c:pt idx="31">
                        <c:v>0.11977217999999999</c:v>
                      </c:pt>
                      <c:pt idx="33">
                        <c:v>4.6783890000000002E-2</c:v>
                      </c:pt>
                      <c:pt idx="34">
                        <c:v>2.6272169999999997E-2</c:v>
                      </c:pt>
                      <c:pt idx="35">
                        <c:v>4.8342599999999999E-2</c:v>
                      </c:pt>
                      <c:pt idx="36">
                        <c:v>5.5593990000000003E-2</c:v>
                      </c:pt>
                      <c:pt idx="37">
                        <c:v>9.8673120000000003E-2</c:v>
                      </c:pt>
                      <c:pt idx="38">
                        <c:v>0.16278354</c:v>
                      </c:pt>
                      <c:pt idx="39">
                        <c:v>7.3101239999999998E-2</c:v>
                      </c:pt>
                      <c:pt idx="40">
                        <c:v>8.4576959999999993E-2</c:v>
                      </c:pt>
                      <c:pt idx="42">
                        <c:v>4.6942020000000001E-2</c:v>
                      </c:pt>
                      <c:pt idx="45">
                        <c:v>3.5466299999999999E-2</c:v>
                      </c:pt>
                      <c:pt idx="46">
                        <c:v>4.4005320000000001E-2</c:v>
                      </c:pt>
                      <c:pt idx="47">
                        <c:v>4.443453E-2</c:v>
                      </c:pt>
                      <c:pt idx="49">
                        <c:v>3.0157650000000001E-2</c:v>
                      </c:pt>
                      <c:pt idx="52">
                        <c:v>4.1497829999999999E-2</c:v>
                      </c:pt>
                      <c:pt idx="53">
                        <c:v>9.3725909999999996E-2</c:v>
                      </c:pt>
                      <c:pt idx="54">
                        <c:v>0.31298444999999997</c:v>
                      </c:pt>
                      <c:pt idx="55">
                        <c:v>7.2468719999999986E-2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313-4DE0-873C-585D79495A5F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S0_NO2-N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'TOC-IC-pH'!$B$96:$B$153</c15:sqref>
                        </c15:formulaRef>
                      </c:ext>
                    </c:extLst>
                    <c:numCache>
                      <c:formatCode>0</c:formatCode>
                      <c:ptCount val="5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16</c:v>
                      </c:pt>
                      <c:pt idx="10">
                        <c:v>19</c:v>
                      </c:pt>
                      <c:pt idx="11">
                        <c:v>21</c:v>
                      </c:pt>
                      <c:pt idx="12">
                        <c:v>23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33</c:v>
                      </c:pt>
                      <c:pt idx="17">
                        <c:v>36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43</c:v>
                      </c:pt>
                      <c:pt idx="21">
                        <c:v>44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51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63</c:v>
                      </c:pt>
                      <c:pt idx="30">
                        <c:v>65</c:v>
                      </c:pt>
                      <c:pt idx="31">
                        <c:v>68</c:v>
                      </c:pt>
                      <c:pt idx="32">
                        <c:v>69</c:v>
                      </c:pt>
                      <c:pt idx="33">
                        <c:v>70</c:v>
                      </c:pt>
                      <c:pt idx="34">
                        <c:v>71</c:v>
                      </c:pt>
                      <c:pt idx="35">
                        <c:v>72</c:v>
                      </c:pt>
                      <c:pt idx="36">
                        <c:v>76</c:v>
                      </c:pt>
                      <c:pt idx="37">
                        <c:v>77</c:v>
                      </c:pt>
                      <c:pt idx="38">
                        <c:v>79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89</c:v>
                      </c:pt>
                      <c:pt idx="43">
                        <c:v>91</c:v>
                      </c:pt>
                      <c:pt idx="44">
                        <c:v>96</c:v>
                      </c:pt>
                      <c:pt idx="45">
                        <c:v>98</c:v>
                      </c:pt>
                      <c:pt idx="46">
                        <c:v>100</c:v>
                      </c:pt>
                      <c:pt idx="47">
                        <c:v>103</c:v>
                      </c:pt>
                      <c:pt idx="48">
                        <c:v>105</c:v>
                      </c:pt>
                      <c:pt idx="49">
                        <c:v>107</c:v>
                      </c:pt>
                      <c:pt idx="50">
                        <c:v>110</c:v>
                      </c:pt>
                      <c:pt idx="51">
                        <c:v>113</c:v>
                      </c:pt>
                      <c:pt idx="52">
                        <c:v>117</c:v>
                      </c:pt>
                      <c:pt idx="53">
                        <c:v>120</c:v>
                      </c:pt>
                      <c:pt idx="54">
                        <c:v>124</c:v>
                      </c:pt>
                      <c:pt idx="55">
                        <c:v>127</c:v>
                      </c:pt>
                      <c:pt idx="56">
                        <c:v>131</c:v>
                      </c:pt>
                      <c:pt idx="57">
                        <c:v>134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'TOC-IC-pH'!$I$96:$I$153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8"/>
                      <c:pt idx="54">
                        <c:v>3.8667287779005792E-2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313-4DE0-873C-585D79495A5F}"/>
                  </c:ext>
                </c:extLst>
              </c15:ser>
            </c15:filteredScatterSeries>
          </c:ext>
        </c:extLst>
      </c:scatterChart>
      <c:valAx>
        <c:axId val="60202277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  <c:majorUnit val="10"/>
        <c:minorUnit val="5"/>
      </c:valAx>
      <c:valAx>
        <c:axId val="60201785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N-Balance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3919612013231959"/>
          <c:y val="6.2855408516667724E-2"/>
          <c:w val="0.11877137824332125"/>
          <c:h val="0.2044812958955300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38341855669917E-2"/>
          <c:y val="4.1143196506363784E-2"/>
          <c:w val="0.85854254847730105"/>
          <c:h val="0.789874444444444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'MLSS-MLVSS (S1)'!$K$2</c:f>
              <c:strCache>
                <c:ptCount val="1"/>
                <c:pt idx="0">
                  <c:v>MLSS</c:v>
                </c:pt>
              </c:strCache>
            </c:strRef>
          </c:tx>
          <c:spPr>
            <a:solidFill>
              <a:schemeClr val="accent1"/>
            </a:solidFill>
            <a:ln w="25400" cap="rnd">
              <a:noFill/>
              <a:round/>
            </a:ln>
            <a:effectLst/>
          </c:spPr>
          <c:invertIfNegative val="0"/>
          <c:cat>
            <c:numRef>
              <c:f>'MLSS-MLVSS (S1)'!$B$62:$B$130</c:f>
              <c:numCache>
                <c:formatCode>0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33</c:v>
                </c:pt>
                <c:pt idx="18">
                  <c:v>36</c:v>
                </c:pt>
                <c:pt idx="19">
                  <c:v>40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58</c:v>
                </c:pt>
                <c:pt idx="30">
                  <c:v>63</c:v>
                </c:pt>
                <c:pt idx="31">
                  <c:v>65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89</c:v>
                </c:pt>
                <c:pt idx="44">
                  <c:v>91</c:v>
                </c:pt>
                <c:pt idx="45">
                  <c:v>96</c:v>
                </c:pt>
                <c:pt idx="46">
                  <c:v>107</c:v>
                </c:pt>
                <c:pt idx="47">
                  <c:v>117</c:v>
                </c:pt>
                <c:pt idx="48">
                  <c:v>124</c:v>
                </c:pt>
                <c:pt idx="49">
                  <c:v>131</c:v>
                </c:pt>
                <c:pt idx="50">
                  <c:v>138</c:v>
                </c:pt>
                <c:pt idx="51">
                  <c:v>145</c:v>
                </c:pt>
                <c:pt idx="52">
                  <c:v>147</c:v>
                </c:pt>
                <c:pt idx="53">
                  <c:v>149</c:v>
                </c:pt>
                <c:pt idx="54">
                  <c:v>152</c:v>
                </c:pt>
                <c:pt idx="55">
                  <c:v>154</c:v>
                </c:pt>
                <c:pt idx="56">
                  <c:v>167</c:v>
                </c:pt>
                <c:pt idx="57">
                  <c:v>174</c:v>
                </c:pt>
                <c:pt idx="58">
                  <c:v>181</c:v>
                </c:pt>
                <c:pt idx="59">
                  <c:v>187</c:v>
                </c:pt>
                <c:pt idx="60">
                  <c:v>190</c:v>
                </c:pt>
                <c:pt idx="61">
                  <c:v>195</c:v>
                </c:pt>
                <c:pt idx="62">
                  <c:v>196</c:v>
                </c:pt>
                <c:pt idx="63">
                  <c:v>197</c:v>
                </c:pt>
                <c:pt idx="64">
                  <c:v>198</c:v>
                </c:pt>
                <c:pt idx="65">
                  <c:v>199</c:v>
                </c:pt>
                <c:pt idx="66">
                  <c:v>200</c:v>
                </c:pt>
                <c:pt idx="67">
                  <c:v>201</c:v>
                </c:pt>
                <c:pt idx="68">
                  <c:v>202</c:v>
                </c:pt>
              </c:numCache>
            </c:numRef>
          </c:cat>
          <c:val>
            <c:numRef>
              <c:f>'MLSS-MLVSS (S1)'!$K$62:$K$130</c:f>
              <c:numCache>
                <c:formatCode>_(* #,##0.00_);_(* \(#,##0.00\);_(* "-"??_);_(@_)</c:formatCode>
                <c:ptCount val="69"/>
                <c:pt idx="0">
                  <c:v>0.84000000000000519</c:v>
                </c:pt>
                <c:pt idx="1">
                  <c:v>0.7733333333333281</c:v>
                </c:pt>
                <c:pt idx="2">
                  <c:v>0.67999999999999616</c:v>
                </c:pt>
                <c:pt idx="3">
                  <c:v>0.47999999999999599</c:v>
                </c:pt>
                <c:pt idx="4">
                  <c:v>9.5000000000000089</c:v>
                </c:pt>
                <c:pt idx="5">
                  <c:v>12.350000000000005</c:v>
                </c:pt>
                <c:pt idx="6">
                  <c:v>15.966666666666663</c:v>
                </c:pt>
                <c:pt idx="7">
                  <c:v>10.449999999999998</c:v>
                </c:pt>
                <c:pt idx="8">
                  <c:v>4.4333333333333336</c:v>
                </c:pt>
                <c:pt idx="9">
                  <c:v>11.483333333333327</c:v>
                </c:pt>
                <c:pt idx="10">
                  <c:v>10.278</c:v>
                </c:pt>
                <c:pt idx="11">
                  <c:v>12.1</c:v>
                </c:pt>
                <c:pt idx="12">
                  <c:v>11.133333333333345</c:v>
                </c:pt>
                <c:pt idx="13">
                  <c:v>25.183333333333326</c:v>
                </c:pt>
                <c:pt idx="14">
                  <c:v>15.350000000000003</c:v>
                </c:pt>
                <c:pt idx="15">
                  <c:v>14.400000000000002</c:v>
                </c:pt>
                <c:pt idx="16">
                  <c:v>15.650000000000004</c:v>
                </c:pt>
                <c:pt idx="17">
                  <c:v>21.5</c:v>
                </c:pt>
                <c:pt idx="18">
                  <c:v>14.033333333333324</c:v>
                </c:pt>
                <c:pt idx="19">
                  <c:v>13.93333333333333</c:v>
                </c:pt>
                <c:pt idx="20">
                  <c:v>10.466666666666669</c:v>
                </c:pt>
                <c:pt idx="26">
                  <c:v>10.633333333333338</c:v>
                </c:pt>
                <c:pt idx="27">
                  <c:v>14.000000000000002</c:v>
                </c:pt>
                <c:pt idx="30">
                  <c:v>10.850000000000003</c:v>
                </c:pt>
                <c:pt idx="31">
                  <c:v>8.0999999999999961</c:v>
                </c:pt>
                <c:pt idx="32">
                  <c:v>3.8499999999999979</c:v>
                </c:pt>
                <c:pt idx="33">
                  <c:v>8.1000000000000014</c:v>
                </c:pt>
                <c:pt idx="35">
                  <c:v>5.5500000000000105</c:v>
                </c:pt>
                <c:pt idx="39">
                  <c:v>4.5499999999999989</c:v>
                </c:pt>
                <c:pt idx="40">
                  <c:v>7.950000000000002</c:v>
                </c:pt>
                <c:pt idx="41">
                  <c:v>6.3000000000000052</c:v>
                </c:pt>
                <c:pt idx="44">
                  <c:v>4.2499999999999982</c:v>
                </c:pt>
                <c:pt idx="45">
                  <c:v>2.1499999999999964</c:v>
                </c:pt>
                <c:pt idx="46">
                  <c:v>6.7499999999999947</c:v>
                </c:pt>
                <c:pt idx="47">
                  <c:v>6.05</c:v>
                </c:pt>
                <c:pt idx="48">
                  <c:v>4.7500000000000098</c:v>
                </c:pt>
                <c:pt idx="49">
                  <c:v>6.0999999999999943</c:v>
                </c:pt>
                <c:pt idx="50">
                  <c:v>6.3000000000000052</c:v>
                </c:pt>
                <c:pt idx="51">
                  <c:v>8.8500000000000014</c:v>
                </c:pt>
                <c:pt idx="52">
                  <c:v>14.449999999999996</c:v>
                </c:pt>
                <c:pt idx="53">
                  <c:v>9.1999999999999957</c:v>
                </c:pt>
                <c:pt idx="54">
                  <c:v>2.4499999999999966</c:v>
                </c:pt>
                <c:pt idx="55">
                  <c:v>7.399999999999995</c:v>
                </c:pt>
                <c:pt idx="56">
                  <c:v>13.250000000000739</c:v>
                </c:pt>
                <c:pt idx="57">
                  <c:v>13.600000000000989</c:v>
                </c:pt>
                <c:pt idx="58">
                  <c:v>10.59999999999981</c:v>
                </c:pt>
                <c:pt idx="59">
                  <c:v>20.150000000001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8-464F-938D-88350D6372DF}"/>
            </c:ext>
          </c:extLst>
        </c:ser>
        <c:ser>
          <c:idx val="1"/>
          <c:order val="1"/>
          <c:tx>
            <c:v>MLVSS</c:v>
          </c:tx>
          <c:spPr>
            <a:solidFill>
              <a:schemeClr val="accent2"/>
            </a:solidFill>
            <a:ln w="25400" cap="rnd">
              <a:noFill/>
              <a:round/>
            </a:ln>
            <a:effectLst/>
          </c:spPr>
          <c:invertIfNegative val="0"/>
          <c:cat>
            <c:numRef>
              <c:f>'MLSS-MLVSS (S1)'!$B$62:$B$130</c:f>
              <c:numCache>
                <c:formatCode>0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33</c:v>
                </c:pt>
                <c:pt idx="18">
                  <c:v>36</c:v>
                </c:pt>
                <c:pt idx="19">
                  <c:v>40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58</c:v>
                </c:pt>
                <c:pt idx="30">
                  <c:v>63</c:v>
                </c:pt>
                <c:pt idx="31">
                  <c:v>65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89</c:v>
                </c:pt>
                <c:pt idx="44">
                  <c:v>91</c:v>
                </c:pt>
                <c:pt idx="45">
                  <c:v>96</c:v>
                </c:pt>
                <c:pt idx="46">
                  <c:v>107</c:v>
                </c:pt>
                <c:pt idx="47">
                  <c:v>117</c:v>
                </c:pt>
                <c:pt idx="48">
                  <c:v>124</c:v>
                </c:pt>
                <c:pt idx="49">
                  <c:v>131</c:v>
                </c:pt>
                <c:pt idx="50">
                  <c:v>138</c:v>
                </c:pt>
                <c:pt idx="51">
                  <c:v>145</c:v>
                </c:pt>
                <c:pt idx="52">
                  <c:v>147</c:v>
                </c:pt>
                <c:pt idx="53">
                  <c:v>149</c:v>
                </c:pt>
                <c:pt idx="54">
                  <c:v>152</c:v>
                </c:pt>
                <c:pt idx="55">
                  <c:v>154</c:v>
                </c:pt>
                <c:pt idx="56">
                  <c:v>167</c:v>
                </c:pt>
                <c:pt idx="57">
                  <c:v>174</c:v>
                </c:pt>
                <c:pt idx="58">
                  <c:v>181</c:v>
                </c:pt>
                <c:pt idx="59">
                  <c:v>187</c:v>
                </c:pt>
                <c:pt idx="60">
                  <c:v>190</c:v>
                </c:pt>
                <c:pt idx="61">
                  <c:v>195</c:v>
                </c:pt>
                <c:pt idx="62">
                  <c:v>196</c:v>
                </c:pt>
                <c:pt idx="63">
                  <c:v>197</c:v>
                </c:pt>
                <c:pt idx="64">
                  <c:v>198</c:v>
                </c:pt>
                <c:pt idx="65">
                  <c:v>199</c:v>
                </c:pt>
                <c:pt idx="66">
                  <c:v>200</c:v>
                </c:pt>
                <c:pt idx="67">
                  <c:v>201</c:v>
                </c:pt>
                <c:pt idx="68">
                  <c:v>202</c:v>
                </c:pt>
              </c:numCache>
            </c:numRef>
          </c:cat>
          <c:val>
            <c:numRef>
              <c:f>'MLSS-MLVSS (S1)'!$N$62:$N$130</c:f>
              <c:numCache>
                <c:formatCode>_(* #,##0.00_);_(* \(#,##0.00\);_(* "-"??_);_(@_)</c:formatCode>
                <c:ptCount val="69"/>
                <c:pt idx="0">
                  <c:v>0.36000000000001364</c:v>
                </c:pt>
                <c:pt idx="1">
                  <c:v>0.44000000000011141</c:v>
                </c:pt>
                <c:pt idx="2">
                  <c:v>0.55999999999983174</c:v>
                </c:pt>
                <c:pt idx="3">
                  <c:v>0.36000000000001364</c:v>
                </c:pt>
                <c:pt idx="4">
                  <c:v>5.5499999999994998</c:v>
                </c:pt>
                <c:pt idx="5">
                  <c:v>7.9999999999998304</c:v>
                </c:pt>
                <c:pt idx="6">
                  <c:v>10.39999999999992</c:v>
                </c:pt>
                <c:pt idx="7">
                  <c:v>7.0000000000000284</c:v>
                </c:pt>
                <c:pt idx="8">
                  <c:v>3.1499999999997641</c:v>
                </c:pt>
                <c:pt idx="9">
                  <c:v>7.9666666666664554</c:v>
                </c:pt>
                <c:pt idx="10">
                  <c:v>7.6816000000002305</c:v>
                </c:pt>
                <c:pt idx="11">
                  <c:v>8.0000000000001847</c:v>
                </c:pt>
                <c:pt idx="12">
                  <c:v>7.1000000000001506</c:v>
                </c:pt>
                <c:pt idx="13">
                  <c:v>20.200000000000173</c:v>
                </c:pt>
                <c:pt idx="14">
                  <c:v>11.583333333333456</c:v>
                </c:pt>
                <c:pt idx="15">
                  <c:v>10.10000000000133</c:v>
                </c:pt>
                <c:pt idx="16">
                  <c:v>11.933333333333351</c:v>
                </c:pt>
                <c:pt idx="17">
                  <c:v>17.099999999999937</c:v>
                </c:pt>
                <c:pt idx="18">
                  <c:v>10.833333333334139</c:v>
                </c:pt>
                <c:pt idx="19">
                  <c:v>10.599999999999454</c:v>
                </c:pt>
                <c:pt idx="20">
                  <c:v>8.5499999999996135</c:v>
                </c:pt>
                <c:pt idx="26">
                  <c:v>7.83333333333296</c:v>
                </c:pt>
                <c:pt idx="27">
                  <c:v>8.5000000000000853</c:v>
                </c:pt>
                <c:pt idx="30">
                  <c:v>8.0000000000001847</c:v>
                </c:pt>
                <c:pt idx="31">
                  <c:v>5.549999999999855</c:v>
                </c:pt>
                <c:pt idx="32">
                  <c:v>2.5500000000000966</c:v>
                </c:pt>
                <c:pt idx="33">
                  <c:v>1.8000000000000682</c:v>
                </c:pt>
                <c:pt idx="35">
                  <c:v>3.7000000000002586</c:v>
                </c:pt>
                <c:pt idx="39">
                  <c:v>2.5999999999996248</c:v>
                </c:pt>
                <c:pt idx="40">
                  <c:v>5.1500000000000767</c:v>
                </c:pt>
                <c:pt idx="41">
                  <c:v>4.0500000000001535</c:v>
                </c:pt>
                <c:pt idx="44">
                  <c:v>2.5999999999999801</c:v>
                </c:pt>
                <c:pt idx="45">
                  <c:v>1.0500000000007503</c:v>
                </c:pt>
                <c:pt idx="46">
                  <c:v>4.0999999999996817</c:v>
                </c:pt>
                <c:pt idx="47">
                  <c:v>3.399999999999892</c:v>
                </c:pt>
                <c:pt idx="48">
                  <c:v>2.5500000000008072</c:v>
                </c:pt>
                <c:pt idx="49">
                  <c:v>3.0999999999998806</c:v>
                </c:pt>
                <c:pt idx="50">
                  <c:v>0</c:v>
                </c:pt>
                <c:pt idx="51">
                  <c:v>6.8000000000001393</c:v>
                </c:pt>
                <c:pt idx="52">
                  <c:v>7.5000000000002842</c:v>
                </c:pt>
                <c:pt idx="53">
                  <c:v>4.399999999999693</c:v>
                </c:pt>
                <c:pt idx="54">
                  <c:v>1.3500000000000512</c:v>
                </c:pt>
                <c:pt idx="55">
                  <c:v>4.7499999999999432</c:v>
                </c:pt>
                <c:pt idx="56">
                  <c:v>9.6000000000000085</c:v>
                </c:pt>
                <c:pt idx="57">
                  <c:v>10.255000000000081</c:v>
                </c:pt>
                <c:pt idx="58">
                  <c:v>7.0000000000000284</c:v>
                </c:pt>
                <c:pt idx="59">
                  <c:v>10.51499999999983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8-464F-938D-88350D637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82918072"/>
        <c:axId val="1873998919"/>
      </c:barChart>
      <c:scatterChart>
        <c:scatterStyle val="lineMarker"/>
        <c:varyColors val="0"/>
        <c:ser>
          <c:idx val="9"/>
          <c:order val="9"/>
          <c:tx>
            <c:v>added 30L of Bio. Slud.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9050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147</c:v>
              </c:pt>
            </c:numLit>
          </c:xVal>
          <c:yVal>
            <c:numLit>
              <c:formatCode>General</c:formatCode>
              <c:ptCount val="1"/>
              <c:pt idx="0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8B2-4F25-8F3D-AF3C43721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918072"/>
        <c:axId val="1873998919"/>
      </c:scatterChart>
      <c:scatterChart>
        <c:scatterStyle val="lineMarker"/>
        <c:varyColors val="0"/>
        <c:ser>
          <c:idx val="2"/>
          <c:order val="2"/>
          <c:tx>
            <c:v>MLSS/MLVSS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'MLSS-MLVSS (S1)'!$B$62:$B$130</c:f>
              <c:numCache>
                <c:formatCode>0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33</c:v>
                </c:pt>
                <c:pt idx="18">
                  <c:v>36</c:v>
                </c:pt>
                <c:pt idx="19">
                  <c:v>40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58</c:v>
                </c:pt>
                <c:pt idx="30">
                  <c:v>63</c:v>
                </c:pt>
                <c:pt idx="31">
                  <c:v>65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89</c:v>
                </c:pt>
                <c:pt idx="44">
                  <c:v>91</c:v>
                </c:pt>
                <c:pt idx="45">
                  <c:v>96</c:v>
                </c:pt>
                <c:pt idx="46">
                  <c:v>107</c:v>
                </c:pt>
                <c:pt idx="47">
                  <c:v>117</c:v>
                </c:pt>
                <c:pt idx="48">
                  <c:v>124</c:v>
                </c:pt>
                <c:pt idx="49">
                  <c:v>131</c:v>
                </c:pt>
                <c:pt idx="50">
                  <c:v>138</c:v>
                </c:pt>
                <c:pt idx="51">
                  <c:v>145</c:v>
                </c:pt>
                <c:pt idx="52">
                  <c:v>147</c:v>
                </c:pt>
                <c:pt idx="53">
                  <c:v>149</c:v>
                </c:pt>
                <c:pt idx="54">
                  <c:v>152</c:v>
                </c:pt>
                <c:pt idx="55">
                  <c:v>154</c:v>
                </c:pt>
                <c:pt idx="56">
                  <c:v>167</c:v>
                </c:pt>
                <c:pt idx="57">
                  <c:v>174</c:v>
                </c:pt>
                <c:pt idx="58">
                  <c:v>181</c:v>
                </c:pt>
                <c:pt idx="59">
                  <c:v>187</c:v>
                </c:pt>
                <c:pt idx="60">
                  <c:v>190</c:v>
                </c:pt>
                <c:pt idx="61">
                  <c:v>195</c:v>
                </c:pt>
                <c:pt idx="62">
                  <c:v>196</c:v>
                </c:pt>
                <c:pt idx="63">
                  <c:v>197</c:v>
                </c:pt>
                <c:pt idx="64">
                  <c:v>198</c:v>
                </c:pt>
                <c:pt idx="65">
                  <c:v>199</c:v>
                </c:pt>
                <c:pt idx="66">
                  <c:v>200</c:v>
                </c:pt>
                <c:pt idx="67">
                  <c:v>201</c:v>
                </c:pt>
                <c:pt idx="68">
                  <c:v>202</c:v>
                </c:pt>
              </c:numCache>
            </c:numRef>
          </c:xVal>
          <c:yVal>
            <c:numRef>
              <c:f>'MLSS-MLVSS (S1)'!$O$62:$O$130</c:f>
              <c:numCache>
                <c:formatCode>_(* #,##0.00_);_(* \(#,##0.00\);_(* "-"??_);_(@_)</c:formatCode>
                <c:ptCount val="69"/>
                <c:pt idx="0">
                  <c:v>2.3333333333332593</c:v>
                </c:pt>
                <c:pt idx="1">
                  <c:v>1.7575757575753006</c:v>
                </c:pt>
                <c:pt idx="2">
                  <c:v>1.2142857142860723</c:v>
                </c:pt>
                <c:pt idx="3">
                  <c:v>1.3333333333332718</c:v>
                </c:pt>
                <c:pt idx="4">
                  <c:v>1.7117117117118676</c:v>
                </c:pt>
                <c:pt idx="5">
                  <c:v>1.5437500000000333</c:v>
                </c:pt>
                <c:pt idx="6">
                  <c:v>1.5352564102564217</c:v>
                </c:pt>
                <c:pt idx="7">
                  <c:v>1.4928571428571364</c:v>
                </c:pt>
                <c:pt idx="8">
                  <c:v>1.4074074074075129</c:v>
                </c:pt>
                <c:pt idx="9">
                  <c:v>1.4414225941422969</c:v>
                </c:pt>
                <c:pt idx="10">
                  <c:v>1.338002499479235</c:v>
                </c:pt>
                <c:pt idx="11">
                  <c:v>1.5124999999999651</c:v>
                </c:pt>
                <c:pt idx="12">
                  <c:v>1.5680751173708605</c:v>
                </c:pt>
                <c:pt idx="13">
                  <c:v>1.2466996699669857</c:v>
                </c:pt>
                <c:pt idx="14">
                  <c:v>1.325179856115094</c:v>
                </c:pt>
                <c:pt idx="15">
                  <c:v>1.4257425742572383</c:v>
                </c:pt>
                <c:pt idx="16">
                  <c:v>1.3114525139664788</c:v>
                </c:pt>
                <c:pt idx="17">
                  <c:v>1.2573099415204725</c:v>
                </c:pt>
                <c:pt idx="18">
                  <c:v>1.2953846153845183</c:v>
                </c:pt>
                <c:pt idx="19">
                  <c:v>1.3144654088050989</c:v>
                </c:pt>
                <c:pt idx="20">
                  <c:v>1.2241715399610693</c:v>
                </c:pt>
                <c:pt idx="26">
                  <c:v>1.3574468085107037</c:v>
                </c:pt>
                <c:pt idx="27">
                  <c:v>1.6470588235293955</c:v>
                </c:pt>
                <c:pt idx="30">
                  <c:v>1.3562499999999691</c:v>
                </c:pt>
                <c:pt idx="31">
                  <c:v>1.459459459459497</c:v>
                </c:pt>
                <c:pt idx="32">
                  <c:v>1.5098039215685695</c:v>
                </c:pt>
                <c:pt idx="33">
                  <c:v>4.4999999999998304</c:v>
                </c:pt>
                <c:pt idx="35">
                  <c:v>1.4999999999998981</c:v>
                </c:pt>
                <c:pt idx="39">
                  <c:v>1.750000000000252</c:v>
                </c:pt>
                <c:pt idx="40">
                  <c:v>1.5436893203883268</c:v>
                </c:pt>
                <c:pt idx="41">
                  <c:v>1.5555555555554978</c:v>
                </c:pt>
                <c:pt idx="44">
                  <c:v>1.6346153846153963</c:v>
                </c:pt>
                <c:pt idx="45">
                  <c:v>2.0476190476175811</c:v>
                </c:pt>
                <c:pt idx="46">
                  <c:v>1.6463414634147606</c:v>
                </c:pt>
                <c:pt idx="47">
                  <c:v>1.7794117647059389</c:v>
                </c:pt>
                <c:pt idx="48">
                  <c:v>1.86274509803863</c:v>
                </c:pt>
                <c:pt idx="49">
                  <c:v>1.9677419354839449</c:v>
                </c:pt>
                <c:pt idx="51">
                  <c:v>1.3014705882352677</c:v>
                </c:pt>
                <c:pt idx="52">
                  <c:v>1.926666666666593</c:v>
                </c:pt>
                <c:pt idx="53">
                  <c:v>2.0909090909092356</c:v>
                </c:pt>
                <c:pt idx="55">
                  <c:v>1.5578947368421228</c:v>
                </c:pt>
                <c:pt idx="56">
                  <c:v>1.380208333333409</c:v>
                </c:pt>
                <c:pt idx="57">
                  <c:v>1.3261823500732211</c:v>
                </c:pt>
                <c:pt idx="58">
                  <c:v>1.5142857142856809</c:v>
                </c:pt>
                <c:pt idx="59">
                  <c:v>1.9163100332859084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BA-4EBC-ABE8-F13B4A6BB831}"/>
            </c:ext>
          </c:extLst>
        </c:ser>
        <c:ser>
          <c:idx val="3"/>
          <c:order val="3"/>
          <c:tx>
            <c:v>sugar added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200"/>
            <c:spPr>
              <a:noFill/>
              <a:ln w="15875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'MLSS-MLVSS (S1)'!$B$71</c:f>
              <c:numCache>
                <c:formatCode>0</c:formatCode>
                <c:ptCount val="1"/>
                <c:pt idx="0">
                  <c:v>16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257-4B38-A1AC-F90EED1B9A1C}"/>
            </c:ext>
          </c:extLst>
        </c:ser>
        <c:ser>
          <c:idx val="4"/>
          <c:order val="4"/>
          <c:tx>
            <c:v>start mbr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200"/>
            <c:spPr>
              <a:noFill/>
              <a:ln w="15875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'MLSS-MLVSS (S1)'!$B$82</c:f>
              <c:numCache>
                <c:formatCode>0</c:formatCode>
                <c:ptCount val="1"/>
                <c:pt idx="0">
                  <c:v>42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257-4B38-A1AC-F90EED1B9A1C}"/>
            </c:ext>
          </c:extLst>
        </c:ser>
        <c:ser>
          <c:idx val="5"/>
          <c:order val="5"/>
          <c:tx>
            <c:v>sludges leaked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2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68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257-4B38-A1AC-F90EED1B9A1C}"/>
            </c:ext>
          </c:extLst>
        </c:ser>
        <c:ser>
          <c:idx val="6"/>
          <c:order val="6"/>
          <c:tx>
            <c:v>Sludges leaked 1/3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2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82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919-4BB8-BFCC-F59C234F9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93920"/>
        <c:axId val="370895560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Sludge removed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percentage"/>
                  <c:noEndCap val="0"/>
                  <c:val val="200"/>
                  <c:spPr>
                    <a:noFill/>
                    <a:ln w="1587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prstDash val="dash"/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0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Lit>
                    <c:formatCode>General</c:formatCode>
                    <c:ptCount val="1"/>
                    <c:pt idx="0">
                      <c:v>26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B919-4BB8-BFCC-F59C234F9B8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sludge removed 6%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percentage"/>
                  <c:noEndCap val="0"/>
                  <c:val val="200"/>
                  <c:spPr>
                    <a:noFill/>
                    <a:ln w="15875" cap="flat" cmpd="sng" algn="ctr">
                      <a:solidFill>
                        <a:schemeClr val="dk1"/>
                      </a:solidFill>
                      <a:prstDash val="dash"/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0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Lit>
                    <c:formatCode>General</c:formatCode>
                    <c:ptCount val="1"/>
                    <c:pt idx="0">
                      <c:v>33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B919-4BB8-BFCC-F59C234F9B84}"/>
                  </c:ext>
                </c:extLst>
              </c15:ser>
            </c15:filteredScatterSeries>
          </c:ext>
        </c:extLst>
      </c:scatterChart>
      <c:dateAx>
        <c:axId val="982918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3998919"/>
        <c:crosses val="autoZero"/>
        <c:auto val="0"/>
        <c:lblOffset val="100"/>
        <c:baseTimeUnit val="days"/>
        <c:majorUnit val="10"/>
        <c:majorTimeUnit val="days"/>
      </c:dateAx>
      <c:valAx>
        <c:axId val="1873998919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UASB reactor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2918072"/>
        <c:crosses val="autoZero"/>
        <c:crossBetween val="between"/>
        <c:majorUnit val="5"/>
      </c:valAx>
      <c:valAx>
        <c:axId val="370895560"/>
        <c:scaling>
          <c:orientation val="minMax"/>
          <c:max val="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MLSS/MLVSS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-* #,##0.0_-;\-* #,##0.0_-;_-* &quot;-&quot;?_-;_-@_-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0893920"/>
        <c:crosses val="max"/>
        <c:crossBetween val="midCat"/>
        <c:majorUnit val="0.5"/>
      </c:valAx>
      <c:valAx>
        <c:axId val="370893920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crossAx val="37089556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605983615654175"/>
          <c:y val="6.3070526894706894E-2"/>
          <c:w val="0.11026835110203304"/>
          <c:h val="0.19655603339969838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'TOC-IC-pH'!$B$96:$B$177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  <c:pt idx="58">
                  <c:v>138</c:v>
                </c:pt>
                <c:pt idx="59">
                  <c:v>141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152</c:v>
                </c:pt>
                <c:pt idx="64">
                  <c:v>154</c:v>
                </c:pt>
                <c:pt idx="65">
                  <c:v>156</c:v>
                </c:pt>
                <c:pt idx="66">
                  <c:v>159</c:v>
                </c:pt>
                <c:pt idx="67">
                  <c:v>170</c:v>
                </c:pt>
                <c:pt idx="68">
                  <c:v>174</c:v>
                </c:pt>
                <c:pt idx="69">
                  <c:v>177</c:v>
                </c:pt>
                <c:pt idx="70">
                  <c:v>181</c:v>
                </c:pt>
                <c:pt idx="71">
                  <c:v>184</c:v>
                </c:pt>
                <c:pt idx="72">
                  <c:v>187</c:v>
                </c:pt>
                <c:pt idx="73">
                  <c:v>190</c:v>
                </c:pt>
                <c:pt idx="74">
                  <c:v>193</c:v>
                </c:pt>
                <c:pt idx="75">
                  <c:v>196</c:v>
                </c:pt>
                <c:pt idx="76">
                  <c:v>197</c:v>
                </c:pt>
                <c:pt idx="77">
                  <c:v>198</c:v>
                </c:pt>
                <c:pt idx="78">
                  <c:v>199</c:v>
                </c:pt>
                <c:pt idx="79">
                  <c:v>200</c:v>
                </c:pt>
                <c:pt idx="80">
                  <c:v>201</c:v>
                </c:pt>
                <c:pt idx="81">
                  <c:v>202</c:v>
                </c:pt>
              </c:numCache>
            </c:numRef>
          </c:xVal>
          <c:yVal>
            <c:numRef>
              <c:f>'TOC-IC-pH'!$F$96:$F$177</c:f>
              <c:numCache>
                <c:formatCode>_(* #,##0.00_);_(* \(#,##0.00\);_(* "-"??_);_(@_)</c:formatCode>
                <c:ptCount val="82"/>
                <c:pt idx="1">
                  <c:v>308.80672316616392</c:v>
                </c:pt>
                <c:pt idx="2">
                  <c:v>293.08817692958263</c:v>
                </c:pt>
                <c:pt idx="3">
                  <c:v>258.07551818558392</c:v>
                </c:pt>
                <c:pt idx="4">
                  <c:v>263.51435279956888</c:v>
                </c:pt>
                <c:pt idx="5">
                  <c:v>221.24366403911438</c:v>
                </c:pt>
                <c:pt idx="6">
                  <c:v>296.26256897173477</c:v>
                </c:pt>
                <c:pt idx="7">
                  <c:v>294.12770066675904</c:v>
                </c:pt>
                <c:pt idx="8">
                  <c:v>341.73103603818197</c:v>
                </c:pt>
                <c:pt idx="9">
                  <c:v>247.31281474179525</c:v>
                </c:pt>
                <c:pt idx="10">
                  <c:v>66.637919184255736</c:v>
                </c:pt>
                <c:pt idx="11">
                  <c:v>67.536637252200677</c:v>
                </c:pt>
                <c:pt idx="12">
                  <c:v>53.001863270809608</c:v>
                </c:pt>
                <c:pt idx="13">
                  <c:v>95.317123756891291</c:v>
                </c:pt>
                <c:pt idx="14">
                  <c:v>42.831659135195423</c:v>
                </c:pt>
                <c:pt idx="15">
                  <c:v>93.73070696185988</c:v>
                </c:pt>
                <c:pt idx="16">
                  <c:v>22.032508607574663</c:v>
                </c:pt>
                <c:pt idx="17">
                  <c:v>178.67838633769975</c:v>
                </c:pt>
                <c:pt idx="18">
                  <c:v>81.250954731409379</c:v>
                </c:pt>
                <c:pt idx="19">
                  <c:v>78.310398760771051</c:v>
                </c:pt>
                <c:pt idx="20">
                  <c:v>49.588886534090562</c:v>
                </c:pt>
                <c:pt idx="21">
                  <c:v>292.96706978662058</c:v>
                </c:pt>
                <c:pt idx="22">
                  <c:v>180.18861496068399</c:v>
                </c:pt>
                <c:pt idx="23">
                  <c:v>341.42432040135844</c:v>
                </c:pt>
                <c:pt idx="24">
                  <c:v>101.5875470738148</c:v>
                </c:pt>
                <c:pt idx="25">
                  <c:v>181.84419182461519</c:v>
                </c:pt>
                <c:pt idx="26">
                  <c:v>49.950081137047434</c:v>
                </c:pt>
                <c:pt idx="27">
                  <c:v>97.426888957541181</c:v>
                </c:pt>
                <c:pt idx="28">
                  <c:v>100.05137388168214</c:v>
                </c:pt>
                <c:pt idx="29">
                  <c:v>286.63876036244449</c:v>
                </c:pt>
                <c:pt idx="30">
                  <c:v>165.52090777256592</c:v>
                </c:pt>
                <c:pt idx="31">
                  <c:v>61.789059076929803</c:v>
                </c:pt>
                <c:pt idx="32">
                  <c:v>96.221374493464182</c:v>
                </c:pt>
                <c:pt idx="33">
                  <c:v>44.345506723192329</c:v>
                </c:pt>
                <c:pt idx="34">
                  <c:v>135.04280272845119</c:v>
                </c:pt>
                <c:pt idx="35">
                  <c:v>97.096171738452256</c:v>
                </c:pt>
                <c:pt idx="36">
                  <c:v>78.151538308988677</c:v>
                </c:pt>
                <c:pt idx="37">
                  <c:v>56.009014286859546</c:v>
                </c:pt>
                <c:pt idx="38">
                  <c:v>94.617086951106742</c:v>
                </c:pt>
                <c:pt idx="39">
                  <c:v>261.42411913758673</c:v>
                </c:pt>
                <c:pt idx="40">
                  <c:v>117.89613613752653</c:v>
                </c:pt>
                <c:pt idx="41">
                  <c:v>101.41001187122379</c:v>
                </c:pt>
                <c:pt idx="42">
                  <c:v>246.06021004389919</c:v>
                </c:pt>
                <c:pt idx="43">
                  <c:v>128.1265859855252</c:v>
                </c:pt>
                <c:pt idx="44">
                  <c:v>98.534721117445855</c:v>
                </c:pt>
                <c:pt idx="45">
                  <c:v>87.078962944003024</c:v>
                </c:pt>
                <c:pt idx="46">
                  <c:v>363.73042053623573</c:v>
                </c:pt>
                <c:pt idx="47">
                  <c:v>74.366762086820529</c:v>
                </c:pt>
                <c:pt idx="48">
                  <c:v>170.24667645488358</c:v>
                </c:pt>
                <c:pt idx="49">
                  <c:v>148.91352098415612</c:v>
                </c:pt>
                <c:pt idx="50">
                  <c:v>67.956987121833578</c:v>
                </c:pt>
                <c:pt idx="51">
                  <c:v>253.21400685913085</c:v>
                </c:pt>
                <c:pt idx="52">
                  <c:v>230.47344323908135</c:v>
                </c:pt>
                <c:pt idx="53">
                  <c:v>69.944314768329875</c:v>
                </c:pt>
                <c:pt idx="54">
                  <c:v>216.33065858443865</c:v>
                </c:pt>
                <c:pt idx="55">
                  <c:v>159.00183097080691</c:v>
                </c:pt>
                <c:pt idx="56">
                  <c:v>144.23551322722835</c:v>
                </c:pt>
                <c:pt idx="57">
                  <c:v>142.91273106852461</c:v>
                </c:pt>
                <c:pt idx="58">
                  <c:v>121.02668053930907</c:v>
                </c:pt>
                <c:pt idx="59">
                  <c:v>123.496745091606</c:v>
                </c:pt>
                <c:pt idx="60">
                  <c:v>102.05720948976287</c:v>
                </c:pt>
                <c:pt idx="61">
                  <c:v>141.02394984227084</c:v>
                </c:pt>
                <c:pt idx="62">
                  <c:v>128.19118765638149</c:v>
                </c:pt>
                <c:pt idx="63">
                  <c:v>59.693076391867855</c:v>
                </c:pt>
                <c:pt idx="64">
                  <c:v>105.78951616446935</c:v>
                </c:pt>
                <c:pt idx="65">
                  <c:v>112.81969193925026</c:v>
                </c:pt>
                <c:pt idx="66">
                  <c:v>219.79533449509512</c:v>
                </c:pt>
                <c:pt idx="67">
                  <c:v>155.06901174759037</c:v>
                </c:pt>
                <c:pt idx="68">
                  <c:v>144.89132626619073</c:v>
                </c:pt>
                <c:pt idx="69">
                  <c:v>207.03857595012016</c:v>
                </c:pt>
                <c:pt idx="70">
                  <c:v>131.12388977365032</c:v>
                </c:pt>
                <c:pt idx="71">
                  <c:v>139.36032230762075</c:v>
                </c:pt>
                <c:pt idx="72">
                  <c:v>35.273117891208429</c:v>
                </c:pt>
                <c:pt idx="73">
                  <c:v>72.591499775045605</c:v>
                </c:pt>
                <c:pt idx="74">
                  <c:v>183.45409620167982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0-4377-8910-E922853D2BD0}"/>
            </c:ext>
          </c:extLst>
        </c:ser>
        <c:ser>
          <c:idx val="2"/>
          <c:order val="1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'TOC-IC-pH'!$B$96:$B$177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  <c:pt idx="58">
                  <c:v>138</c:v>
                </c:pt>
                <c:pt idx="59">
                  <c:v>141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152</c:v>
                </c:pt>
                <c:pt idx="64">
                  <c:v>154</c:v>
                </c:pt>
                <c:pt idx="65">
                  <c:v>156</c:v>
                </c:pt>
                <c:pt idx="66">
                  <c:v>159</c:v>
                </c:pt>
                <c:pt idx="67">
                  <c:v>170</c:v>
                </c:pt>
                <c:pt idx="68">
                  <c:v>174</c:v>
                </c:pt>
                <c:pt idx="69">
                  <c:v>177</c:v>
                </c:pt>
                <c:pt idx="70">
                  <c:v>181</c:v>
                </c:pt>
                <c:pt idx="71">
                  <c:v>184</c:v>
                </c:pt>
                <c:pt idx="72">
                  <c:v>187</c:v>
                </c:pt>
                <c:pt idx="73">
                  <c:v>190</c:v>
                </c:pt>
                <c:pt idx="74">
                  <c:v>193</c:v>
                </c:pt>
                <c:pt idx="75">
                  <c:v>196</c:v>
                </c:pt>
                <c:pt idx="76">
                  <c:v>197</c:v>
                </c:pt>
                <c:pt idx="77">
                  <c:v>198</c:v>
                </c:pt>
                <c:pt idx="78">
                  <c:v>199</c:v>
                </c:pt>
                <c:pt idx="79">
                  <c:v>200</c:v>
                </c:pt>
                <c:pt idx="80">
                  <c:v>201</c:v>
                </c:pt>
                <c:pt idx="81">
                  <c:v>202</c:v>
                </c:pt>
              </c:numCache>
            </c:numRef>
          </c:xVal>
          <c:yVal>
            <c:numRef>
              <c:f>'TOC-IC-pH'!$BG$96:$BG$177</c:f>
              <c:numCache>
                <c:formatCode>_(* #,##0.00_);_(* \(#,##0.00\);_(* "-"??_);_(@_)</c:formatCode>
                <c:ptCount val="82"/>
                <c:pt idx="0">
                  <c:v>3.3094751453857043</c:v>
                </c:pt>
                <c:pt idx="2">
                  <c:v>64.134662640883192</c:v>
                </c:pt>
                <c:pt idx="3">
                  <c:v>74.169378788111743</c:v>
                </c:pt>
                <c:pt idx="4">
                  <c:v>35.643199652252022</c:v>
                </c:pt>
                <c:pt idx="5">
                  <c:v>31.016545603393936</c:v>
                </c:pt>
                <c:pt idx="6">
                  <c:v>25.793995811992374</c:v>
                </c:pt>
                <c:pt idx="7">
                  <c:v>49.171013754325926</c:v>
                </c:pt>
                <c:pt idx="8">
                  <c:v>-3.9070985549569741</c:v>
                </c:pt>
                <c:pt idx="9">
                  <c:v>11.034372477498835</c:v>
                </c:pt>
                <c:pt idx="10">
                  <c:v>-20.231994363080432</c:v>
                </c:pt>
                <c:pt idx="11">
                  <c:v>-13.242023079707991</c:v>
                </c:pt>
                <c:pt idx="12">
                  <c:v>-15.062855317724157</c:v>
                </c:pt>
                <c:pt idx="13">
                  <c:v>-20.96459100057676</c:v>
                </c:pt>
                <c:pt idx="14">
                  <c:v>-30.991931801975895</c:v>
                </c:pt>
                <c:pt idx="15">
                  <c:v>-22.768119995313697</c:v>
                </c:pt>
                <c:pt idx="16">
                  <c:v>-21.949875890783886</c:v>
                </c:pt>
                <c:pt idx="19">
                  <c:v>-8.8168199625768153</c:v>
                </c:pt>
                <c:pt idx="20">
                  <c:v>-35.775055241403123</c:v>
                </c:pt>
                <c:pt idx="21">
                  <c:v>-7.0581579481859222</c:v>
                </c:pt>
                <c:pt idx="22">
                  <c:v>5.0959512488157372</c:v>
                </c:pt>
                <c:pt idx="23">
                  <c:v>20.691369020045016</c:v>
                </c:pt>
                <c:pt idx="24">
                  <c:v>3.9325184998289586</c:v>
                </c:pt>
                <c:pt idx="25">
                  <c:v>14.131743195269976</c:v>
                </c:pt>
                <c:pt idx="26">
                  <c:v>-5.4091942255245868</c:v>
                </c:pt>
                <c:pt idx="27">
                  <c:v>-11.998988252275041</c:v>
                </c:pt>
                <c:pt idx="28">
                  <c:v>3.0986095389941255</c:v>
                </c:pt>
                <c:pt idx="29">
                  <c:v>0.28255253518410939</c:v>
                </c:pt>
                <c:pt idx="30">
                  <c:v>-4.6129215756416642</c:v>
                </c:pt>
                <c:pt idx="31">
                  <c:v>54.111500301177834</c:v>
                </c:pt>
                <c:pt idx="32">
                  <c:v>7.9630954545188075</c:v>
                </c:pt>
                <c:pt idx="33">
                  <c:v>-10.92192260065714</c:v>
                </c:pt>
                <c:pt idx="34">
                  <c:v>-9.5534139456915881</c:v>
                </c:pt>
                <c:pt idx="35">
                  <c:v>-3.3435687094834492</c:v>
                </c:pt>
                <c:pt idx="36">
                  <c:v>-4.542841022211519</c:v>
                </c:pt>
                <c:pt idx="37">
                  <c:v>-4.4098549742638937</c:v>
                </c:pt>
                <c:pt idx="38">
                  <c:v>23.981909604058515</c:v>
                </c:pt>
                <c:pt idx="39">
                  <c:v>28.103127299325251</c:v>
                </c:pt>
                <c:pt idx="40">
                  <c:v>-14.558596892834302</c:v>
                </c:pt>
                <c:pt idx="41">
                  <c:v>5.1482960196575505</c:v>
                </c:pt>
                <c:pt idx="42">
                  <c:v>-8.3317562208062554</c:v>
                </c:pt>
                <c:pt idx="43">
                  <c:v>3.0507965089508531</c:v>
                </c:pt>
                <c:pt idx="44">
                  <c:v>16.82974958270151</c:v>
                </c:pt>
                <c:pt idx="45">
                  <c:v>17.949583629292164</c:v>
                </c:pt>
                <c:pt idx="46">
                  <c:v>52.06670524052771</c:v>
                </c:pt>
                <c:pt idx="47">
                  <c:v>-8.1300044048212783</c:v>
                </c:pt>
                <c:pt idx="48">
                  <c:v>-9.8116275268354229</c:v>
                </c:pt>
                <c:pt idx="49">
                  <c:v>-5.2854465943492244</c:v>
                </c:pt>
                <c:pt idx="50">
                  <c:v>-3.294517637059073</c:v>
                </c:pt>
                <c:pt idx="51">
                  <c:v>45.255201178110056</c:v>
                </c:pt>
                <c:pt idx="52">
                  <c:v>23.683496096534867</c:v>
                </c:pt>
                <c:pt idx="53">
                  <c:v>-4.8813105489255406</c:v>
                </c:pt>
                <c:pt idx="54">
                  <c:v>15.054502589456021</c:v>
                </c:pt>
                <c:pt idx="55">
                  <c:v>21.268344319528524</c:v>
                </c:pt>
                <c:pt idx="56">
                  <c:v>18.735948549069519</c:v>
                </c:pt>
                <c:pt idx="57">
                  <c:v>15.669315370863785</c:v>
                </c:pt>
                <c:pt idx="58">
                  <c:v>20.162017616009209</c:v>
                </c:pt>
                <c:pt idx="59">
                  <c:v>18.85576610435551</c:v>
                </c:pt>
                <c:pt idx="60">
                  <c:v>26.868107517689452</c:v>
                </c:pt>
                <c:pt idx="61">
                  <c:v>110.5329141276012</c:v>
                </c:pt>
                <c:pt idx="62">
                  <c:v>66.763842903408261</c:v>
                </c:pt>
                <c:pt idx="63">
                  <c:v>42.528873729566897</c:v>
                </c:pt>
                <c:pt idx="64">
                  <c:v>31.3550949336678</c:v>
                </c:pt>
                <c:pt idx="65">
                  <c:v>18.733431516936662</c:v>
                </c:pt>
                <c:pt idx="66">
                  <c:v>21.307299943152756</c:v>
                </c:pt>
                <c:pt idx="67">
                  <c:v>13.746474611478121</c:v>
                </c:pt>
                <c:pt idx="68">
                  <c:v>16.589324953734433</c:v>
                </c:pt>
                <c:pt idx="69">
                  <c:v>24.149893307314557</c:v>
                </c:pt>
                <c:pt idx="70">
                  <c:v>37.112003864757256</c:v>
                </c:pt>
                <c:pt idx="71">
                  <c:v>11.865493289484732</c:v>
                </c:pt>
                <c:pt idx="72">
                  <c:v>5.1193793151016358</c:v>
                </c:pt>
                <c:pt idx="73">
                  <c:v>14.591961157146841</c:v>
                </c:pt>
                <c:pt idx="74">
                  <c:v>13.078468992561113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0-4377-8910-E922853D2BD0}"/>
            </c:ext>
          </c:extLst>
        </c:ser>
        <c:ser>
          <c:idx val="1"/>
          <c:order val="2"/>
          <c:tx>
            <c:v>S4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'TOC-IC-pH'!$B$96:$B$177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  <c:pt idx="58">
                  <c:v>138</c:v>
                </c:pt>
                <c:pt idx="59">
                  <c:v>141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152</c:v>
                </c:pt>
                <c:pt idx="64">
                  <c:v>154</c:v>
                </c:pt>
                <c:pt idx="65">
                  <c:v>156</c:v>
                </c:pt>
                <c:pt idx="66">
                  <c:v>159</c:v>
                </c:pt>
                <c:pt idx="67">
                  <c:v>170</c:v>
                </c:pt>
                <c:pt idx="68">
                  <c:v>174</c:v>
                </c:pt>
                <c:pt idx="69">
                  <c:v>177</c:v>
                </c:pt>
                <c:pt idx="70">
                  <c:v>181</c:v>
                </c:pt>
                <c:pt idx="71">
                  <c:v>184</c:v>
                </c:pt>
                <c:pt idx="72">
                  <c:v>187</c:v>
                </c:pt>
                <c:pt idx="73">
                  <c:v>190</c:v>
                </c:pt>
                <c:pt idx="74">
                  <c:v>193</c:v>
                </c:pt>
                <c:pt idx="75">
                  <c:v>196</c:v>
                </c:pt>
                <c:pt idx="76">
                  <c:v>197</c:v>
                </c:pt>
                <c:pt idx="77">
                  <c:v>198</c:v>
                </c:pt>
                <c:pt idx="78">
                  <c:v>199</c:v>
                </c:pt>
                <c:pt idx="79">
                  <c:v>200</c:v>
                </c:pt>
                <c:pt idx="80">
                  <c:v>201</c:v>
                </c:pt>
                <c:pt idx="81">
                  <c:v>202</c:v>
                </c:pt>
              </c:numCache>
            </c:numRef>
          </c:xVal>
          <c:yVal>
            <c:numRef>
              <c:f>'TOC-IC-pH'!$DF$96:$DF$177</c:f>
              <c:numCache>
                <c:formatCode>_(* #,##0.00_);_(* \(#,##0.00\);_(* "-"??_);_(@_)</c:formatCode>
                <c:ptCount val="82"/>
                <c:pt idx="19">
                  <c:v>14.998183578633174</c:v>
                </c:pt>
                <c:pt idx="20">
                  <c:v>18.567994147788205</c:v>
                </c:pt>
                <c:pt idx="21">
                  <c:v>17.409766981606303</c:v>
                </c:pt>
                <c:pt idx="22">
                  <c:v>22.871747206340764</c:v>
                </c:pt>
                <c:pt idx="23">
                  <c:v>18.164172145385436</c:v>
                </c:pt>
                <c:pt idx="24">
                  <c:v>19.501714349943864</c:v>
                </c:pt>
                <c:pt idx="25">
                  <c:v>17.584329796295592</c:v>
                </c:pt>
                <c:pt idx="26">
                  <c:v>14.853559764045887</c:v>
                </c:pt>
                <c:pt idx="27">
                  <c:v>12.464451350223896</c:v>
                </c:pt>
                <c:pt idx="28">
                  <c:v>14.21860923697988</c:v>
                </c:pt>
                <c:pt idx="29">
                  <c:v>13.198203842940684</c:v>
                </c:pt>
                <c:pt idx="30">
                  <c:v>11.350576845583328</c:v>
                </c:pt>
                <c:pt idx="31">
                  <c:v>37.960205152779693</c:v>
                </c:pt>
                <c:pt idx="32">
                  <c:v>10.64789171337925</c:v>
                </c:pt>
                <c:pt idx="33">
                  <c:v>11.243910532754473</c:v>
                </c:pt>
                <c:pt idx="34">
                  <c:v>12.380248494148976</c:v>
                </c:pt>
                <c:pt idx="35">
                  <c:v>13.245322721976931</c:v>
                </c:pt>
                <c:pt idx="36">
                  <c:v>10.754087081815216</c:v>
                </c:pt>
                <c:pt idx="37">
                  <c:v>10.504244896786521</c:v>
                </c:pt>
                <c:pt idx="38">
                  <c:v>12.102411798360245</c:v>
                </c:pt>
                <c:pt idx="39">
                  <c:v>15.00495698020833</c:v>
                </c:pt>
                <c:pt idx="40">
                  <c:v>18.959911843919848</c:v>
                </c:pt>
                <c:pt idx="41">
                  <c:v>13.253698289042276</c:v>
                </c:pt>
                <c:pt idx="43">
                  <c:v>18.696268868390845</c:v>
                </c:pt>
                <c:pt idx="44">
                  <c:v>8.241014472623938</c:v>
                </c:pt>
                <c:pt idx="45">
                  <c:v>11.455697048798477</c:v>
                </c:pt>
                <c:pt idx="46">
                  <c:v>7.3880347083369244</c:v>
                </c:pt>
                <c:pt idx="47">
                  <c:v>5.3283194737187856</c:v>
                </c:pt>
                <c:pt idx="48">
                  <c:v>6.7453233981928378</c:v>
                </c:pt>
                <c:pt idx="49">
                  <c:v>13.841325999818366</c:v>
                </c:pt>
                <c:pt idx="50">
                  <c:v>12.970912936478911</c:v>
                </c:pt>
                <c:pt idx="51">
                  <c:v>10.98397888889987</c:v>
                </c:pt>
                <c:pt idx="52">
                  <c:v>9.6624574129387675</c:v>
                </c:pt>
                <c:pt idx="53">
                  <c:v>10.309848704175586</c:v>
                </c:pt>
                <c:pt idx="54">
                  <c:v>9.9113887763668345</c:v>
                </c:pt>
                <c:pt idx="55">
                  <c:v>8.0911126629433063</c:v>
                </c:pt>
                <c:pt idx="56">
                  <c:v>8.3979081313294497</c:v>
                </c:pt>
                <c:pt idx="57">
                  <c:v>7.8762289155763305</c:v>
                </c:pt>
                <c:pt idx="58">
                  <c:v>6.5632331876779144</c:v>
                </c:pt>
                <c:pt idx="59">
                  <c:v>6.8377157782752676</c:v>
                </c:pt>
                <c:pt idx="60">
                  <c:v>9.1142942815183119</c:v>
                </c:pt>
                <c:pt idx="61">
                  <c:v>6.7980891874921161</c:v>
                </c:pt>
                <c:pt idx="62">
                  <c:v>14.915543429619198</c:v>
                </c:pt>
                <c:pt idx="63">
                  <c:v>11.834154386999042</c:v>
                </c:pt>
                <c:pt idx="64">
                  <c:v>11.203451417403935</c:v>
                </c:pt>
                <c:pt idx="65">
                  <c:v>10.372961197312591</c:v>
                </c:pt>
                <c:pt idx="66">
                  <c:v>9.2161303406722848</c:v>
                </c:pt>
                <c:pt idx="67">
                  <c:v>8.0227395472698717</c:v>
                </c:pt>
                <c:pt idx="68">
                  <c:v>7.0454673904172855</c:v>
                </c:pt>
                <c:pt idx="69">
                  <c:v>7.9306854509253313</c:v>
                </c:pt>
                <c:pt idx="70">
                  <c:v>7.5262469035849158</c:v>
                </c:pt>
                <c:pt idx="71">
                  <c:v>9.011138365223534</c:v>
                </c:pt>
                <c:pt idx="72">
                  <c:v>28.465251992385856</c:v>
                </c:pt>
                <c:pt idx="73">
                  <c:v>8.3116762771173214</c:v>
                </c:pt>
                <c:pt idx="74">
                  <c:v>7.3369091098057506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8-4517-B74F-11E61D9A688A}"/>
            </c:ext>
          </c:extLst>
        </c:ser>
        <c:ser>
          <c:idx val="7"/>
          <c:order val="7"/>
          <c:tx>
            <c:v>TOC/TN fixed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'TOC-IC-pH'!$B$151</c:f>
              <c:numCache>
                <c:formatCode>0</c:formatCode>
                <c:ptCount val="1"/>
                <c:pt idx="0">
                  <c:v>127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40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51A-4E4A-848B-351ACFF5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</c:scatterChart>
      <c:scatterChart>
        <c:scatterStyle val="lineMarker"/>
        <c:varyColors val="0"/>
        <c:ser>
          <c:idx val="6"/>
          <c:order val="3"/>
          <c:tx>
            <c:v>TOC removal S4/S0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'TOC-IC-pH'!$B$96:$B$177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  <c:pt idx="58">
                  <c:v>138</c:v>
                </c:pt>
                <c:pt idx="59">
                  <c:v>141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152</c:v>
                </c:pt>
                <c:pt idx="64">
                  <c:v>154</c:v>
                </c:pt>
                <c:pt idx="65">
                  <c:v>156</c:v>
                </c:pt>
                <c:pt idx="66">
                  <c:v>159</c:v>
                </c:pt>
                <c:pt idx="67">
                  <c:v>170</c:v>
                </c:pt>
                <c:pt idx="68">
                  <c:v>174</c:v>
                </c:pt>
                <c:pt idx="69">
                  <c:v>177</c:v>
                </c:pt>
                <c:pt idx="70">
                  <c:v>181</c:v>
                </c:pt>
                <c:pt idx="71">
                  <c:v>184</c:v>
                </c:pt>
                <c:pt idx="72">
                  <c:v>187</c:v>
                </c:pt>
                <c:pt idx="73">
                  <c:v>190</c:v>
                </c:pt>
                <c:pt idx="74">
                  <c:v>193</c:v>
                </c:pt>
                <c:pt idx="75">
                  <c:v>196</c:v>
                </c:pt>
                <c:pt idx="76">
                  <c:v>197</c:v>
                </c:pt>
                <c:pt idx="77">
                  <c:v>198</c:v>
                </c:pt>
                <c:pt idx="78">
                  <c:v>199</c:v>
                </c:pt>
                <c:pt idx="79">
                  <c:v>200</c:v>
                </c:pt>
                <c:pt idx="80">
                  <c:v>201</c:v>
                </c:pt>
                <c:pt idx="81">
                  <c:v>202</c:v>
                </c:pt>
              </c:numCache>
            </c:numRef>
          </c:xVal>
          <c:yVal>
            <c:numRef>
              <c:f>'TOC-IC-pH'!$EJ$96:$EJ$177</c:f>
              <c:numCache>
                <c:formatCode>_(* #,##0.00_);_(* \(#,##0.00\);_(* "-"??_);_(@_)</c:formatCode>
                <c:ptCount val="82"/>
                <c:pt idx="19">
                  <c:v>80.847775243169366</c:v>
                </c:pt>
                <c:pt idx="20">
                  <c:v>62.55613818829471</c:v>
                </c:pt>
                <c:pt idx="21">
                  <c:v>94.057432122222295</c:v>
                </c:pt>
                <c:pt idx="22">
                  <c:v>87.306774508849401</c:v>
                </c:pt>
                <c:pt idx="23">
                  <c:v>94.679883341634053</c:v>
                </c:pt>
                <c:pt idx="24">
                  <c:v>80.803046326363543</c:v>
                </c:pt>
                <c:pt idx="25">
                  <c:v>90.330001953950074</c:v>
                </c:pt>
                <c:pt idx="26">
                  <c:v>70.263191918963358</c:v>
                </c:pt>
                <c:pt idx="27">
                  <c:v>87.206353930016263</c:v>
                </c:pt>
                <c:pt idx="28">
                  <c:v>85.788691663750257</c:v>
                </c:pt>
                <c:pt idx="29">
                  <c:v>95.395527169370936</c:v>
                </c:pt>
                <c:pt idx="30">
                  <c:v>93.142511723546377</c:v>
                </c:pt>
                <c:pt idx="31">
                  <c:v>38.564843485449828</c:v>
                </c:pt>
                <c:pt idx="32">
                  <c:v>88.933964236706558</c:v>
                </c:pt>
                <c:pt idx="33">
                  <c:v>74.644758029399185</c:v>
                </c:pt>
                <c:pt idx="34">
                  <c:v>90.832352229060589</c:v>
                </c:pt>
                <c:pt idx="35">
                  <c:v>86.358553087287689</c:v>
                </c:pt>
                <c:pt idx="36">
                  <c:v>86.239442863815867</c:v>
                </c:pt>
                <c:pt idx="37">
                  <c:v>81.245438737794458</c:v>
                </c:pt>
                <c:pt idx="38">
                  <c:v>87.209063195304083</c:v>
                </c:pt>
                <c:pt idx="39">
                  <c:v>94.260301218683168</c:v>
                </c:pt>
                <c:pt idx="40">
                  <c:v>83.918122794284784</c:v>
                </c:pt>
                <c:pt idx="41">
                  <c:v>86.930582055475369</c:v>
                </c:pt>
                <c:pt idx="43">
                  <c:v>85.407970777818889</c:v>
                </c:pt>
                <c:pt idx="44">
                  <c:v>91.636435990110257</c:v>
                </c:pt>
                <c:pt idx="45">
                  <c:v>86.844472348430273</c:v>
                </c:pt>
                <c:pt idx="46">
                  <c:v>97.968815834143044</c:v>
                </c:pt>
                <c:pt idx="47">
                  <c:v>92.835079376592788</c:v>
                </c:pt>
                <c:pt idx="48">
                  <c:v>96.037911847295064</c:v>
                </c:pt>
                <c:pt idx="49">
                  <c:v>90.705124754057067</c:v>
                </c:pt>
                <c:pt idx="50">
                  <c:v>80.913054733835395</c:v>
                </c:pt>
                <c:pt idx="51">
                  <c:v>95.662175633510472</c:v>
                </c:pt>
                <c:pt idx="52">
                  <c:v>95.807561479907505</c:v>
                </c:pt>
                <c:pt idx="53">
                  <c:v>85.259918925042086</c:v>
                </c:pt>
                <c:pt idx="54">
                  <c:v>95.418407709188287</c:v>
                </c:pt>
                <c:pt idx="55">
                  <c:v>94.911308496548784</c:v>
                </c:pt>
                <c:pt idx="56">
                  <c:v>94.17764186958631</c:v>
                </c:pt>
                <c:pt idx="57">
                  <c:v>94.488784269471566</c:v>
                </c:pt>
                <c:pt idx="58">
                  <c:v>94.577036106062423</c:v>
                </c:pt>
                <c:pt idx="59">
                  <c:v>94.463242109576839</c:v>
                </c:pt>
                <c:pt idx="60">
                  <c:v>91.069426327561359</c:v>
                </c:pt>
                <c:pt idx="61">
                  <c:v>95.179478950138986</c:v>
                </c:pt>
                <c:pt idx="62">
                  <c:v>88.364610935971243</c:v>
                </c:pt>
                <c:pt idx="63">
                  <c:v>80.174996662408176</c:v>
                </c:pt>
                <c:pt idx="64">
                  <c:v>89.409677042112463</c:v>
                </c:pt>
                <c:pt idx="65">
                  <c:v>90.805717495755886</c:v>
                </c:pt>
                <c:pt idx="66">
                  <c:v>95.806949059294993</c:v>
                </c:pt>
                <c:pt idx="67">
                  <c:v>94.826342505923293</c:v>
                </c:pt>
                <c:pt idx="68">
                  <c:v>95.137412589161116</c:v>
                </c:pt>
                <c:pt idx="69">
                  <c:v>96.169464837878337</c:v>
                </c:pt>
                <c:pt idx="70">
                  <c:v>94.260201618044633</c:v>
                </c:pt>
                <c:pt idx="71">
                  <c:v>93.533928297516027</c:v>
                </c:pt>
                <c:pt idx="72">
                  <c:v>19.300437006503994</c:v>
                </c:pt>
                <c:pt idx="73">
                  <c:v>88.550069494535251</c:v>
                </c:pt>
                <c:pt idx="74">
                  <c:v>96.00068395216428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6A75-47F2-B84F-EAE8316553A1}"/>
            </c:ext>
          </c:extLst>
        </c:ser>
        <c:ser>
          <c:idx val="3"/>
          <c:order val="4"/>
          <c:tx>
            <c:v>Sugar added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16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E-6A75-47F2-B84F-EAE8316553A1}"/>
            </c:ext>
          </c:extLst>
        </c:ser>
        <c:ser>
          <c:idx val="4"/>
          <c:order val="5"/>
          <c:tx>
            <c:v>Start MBR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42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F-6A75-47F2-B84F-EAE8316553A1}"/>
            </c:ext>
          </c:extLst>
        </c:ser>
        <c:ser>
          <c:idx val="5"/>
          <c:order val="6"/>
          <c:tx>
            <c:v>sludges leaked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68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0-6A75-47F2-B84F-EAE831655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7888"/>
        <c:axId val="751273136"/>
      </c:scatterChart>
      <c:valAx>
        <c:axId val="602022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  <c:majorUnit val="10"/>
        <c:minorUnit val="5"/>
      </c:valAx>
      <c:valAx>
        <c:axId val="602017856"/>
        <c:scaling>
          <c:orientation val="minMax"/>
          <c:max val="4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TOC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valAx>
        <c:axId val="751273136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Removal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267888"/>
        <c:crosses val="max"/>
        <c:crossBetween val="midCat"/>
      </c:valAx>
      <c:valAx>
        <c:axId val="7512678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5127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3651806953999326"/>
          <c:y val="5.5481064445670976E-2"/>
          <c:w val="9.631175534547623E-2"/>
          <c:h val="0.3152731793799214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MLSS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'MLSS-MLVSS (S1)'!$B$62:$B$107</c:f>
              <c:numCache>
                <c:formatCode>0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33</c:v>
                </c:pt>
                <c:pt idx="18">
                  <c:v>36</c:v>
                </c:pt>
                <c:pt idx="19">
                  <c:v>40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58</c:v>
                </c:pt>
                <c:pt idx="30">
                  <c:v>63</c:v>
                </c:pt>
                <c:pt idx="31">
                  <c:v>65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89</c:v>
                </c:pt>
                <c:pt idx="44">
                  <c:v>91</c:v>
                </c:pt>
                <c:pt idx="45">
                  <c:v>96</c:v>
                </c:pt>
              </c:numCache>
            </c:numRef>
          </c:xVal>
          <c:yVal>
            <c:numRef>
              <c:f>'MLSS-MLVSS (S1)'!$K$62:$K$107</c:f>
              <c:numCache>
                <c:formatCode>_(* #,##0.00_);_(* \(#,##0.00\);_(* "-"??_);_(@_)</c:formatCode>
                <c:ptCount val="46"/>
                <c:pt idx="0">
                  <c:v>0.84000000000000519</c:v>
                </c:pt>
                <c:pt idx="1">
                  <c:v>0.7733333333333281</c:v>
                </c:pt>
                <c:pt idx="2">
                  <c:v>0.67999999999999616</c:v>
                </c:pt>
                <c:pt idx="3">
                  <c:v>0.47999999999999599</c:v>
                </c:pt>
                <c:pt idx="4">
                  <c:v>9.5000000000000089</c:v>
                </c:pt>
                <c:pt idx="5">
                  <c:v>12.350000000000005</c:v>
                </c:pt>
                <c:pt idx="6">
                  <c:v>15.966666666666663</c:v>
                </c:pt>
                <c:pt idx="7">
                  <c:v>10.449999999999998</c:v>
                </c:pt>
                <c:pt idx="8">
                  <c:v>4.4333333333333336</c:v>
                </c:pt>
                <c:pt idx="9">
                  <c:v>11.483333333333327</c:v>
                </c:pt>
                <c:pt idx="10">
                  <c:v>10.278</c:v>
                </c:pt>
                <c:pt idx="11">
                  <c:v>12.1</c:v>
                </c:pt>
                <c:pt idx="12">
                  <c:v>11.133333333333345</c:v>
                </c:pt>
                <c:pt idx="13">
                  <c:v>25.183333333333326</c:v>
                </c:pt>
                <c:pt idx="14">
                  <c:v>15.350000000000003</c:v>
                </c:pt>
                <c:pt idx="15">
                  <c:v>14.400000000000002</c:v>
                </c:pt>
                <c:pt idx="16">
                  <c:v>15.650000000000004</c:v>
                </c:pt>
                <c:pt idx="17">
                  <c:v>21.5</c:v>
                </c:pt>
                <c:pt idx="18">
                  <c:v>14.033333333333324</c:v>
                </c:pt>
                <c:pt idx="19">
                  <c:v>13.93333333333333</c:v>
                </c:pt>
                <c:pt idx="20">
                  <c:v>10.466666666666669</c:v>
                </c:pt>
                <c:pt idx="26">
                  <c:v>10.633333333333338</c:v>
                </c:pt>
                <c:pt idx="27">
                  <c:v>14.000000000000002</c:v>
                </c:pt>
                <c:pt idx="30">
                  <c:v>10.850000000000003</c:v>
                </c:pt>
                <c:pt idx="31">
                  <c:v>8.0999999999999961</c:v>
                </c:pt>
                <c:pt idx="32">
                  <c:v>3.8499999999999979</c:v>
                </c:pt>
                <c:pt idx="33">
                  <c:v>8.1000000000000014</c:v>
                </c:pt>
                <c:pt idx="35">
                  <c:v>5.5500000000000105</c:v>
                </c:pt>
                <c:pt idx="39">
                  <c:v>4.5499999999999989</c:v>
                </c:pt>
                <c:pt idx="40">
                  <c:v>7.950000000000002</c:v>
                </c:pt>
                <c:pt idx="41">
                  <c:v>6.3000000000000052</c:v>
                </c:pt>
                <c:pt idx="44">
                  <c:v>4.2499999999999982</c:v>
                </c:pt>
                <c:pt idx="45">
                  <c:v>2.1499999999999964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3-4DCE-8B9F-B57BFF84DE64}"/>
            </c:ext>
          </c:extLst>
        </c:ser>
        <c:ser>
          <c:idx val="2"/>
          <c:order val="1"/>
          <c:tx>
            <c:v>MLVSS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'MLSS-MLVSS (S1)'!$B$62:$B$107</c:f>
              <c:numCache>
                <c:formatCode>0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33</c:v>
                </c:pt>
                <c:pt idx="18">
                  <c:v>36</c:v>
                </c:pt>
                <c:pt idx="19">
                  <c:v>40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58</c:v>
                </c:pt>
                <c:pt idx="30">
                  <c:v>63</c:v>
                </c:pt>
                <c:pt idx="31">
                  <c:v>65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89</c:v>
                </c:pt>
                <c:pt idx="44">
                  <c:v>91</c:v>
                </c:pt>
                <c:pt idx="45">
                  <c:v>96</c:v>
                </c:pt>
              </c:numCache>
            </c:numRef>
          </c:xVal>
          <c:yVal>
            <c:numRef>
              <c:f>'MLSS-MLVSS (S1)'!$N$62:$N$107</c:f>
              <c:numCache>
                <c:formatCode>_(* #,##0.00_);_(* \(#,##0.00\);_(* "-"??_);_(@_)</c:formatCode>
                <c:ptCount val="46"/>
                <c:pt idx="0">
                  <c:v>0.36000000000001364</c:v>
                </c:pt>
                <c:pt idx="1">
                  <c:v>0.44000000000011141</c:v>
                </c:pt>
                <c:pt idx="2">
                  <c:v>0.55999999999983174</c:v>
                </c:pt>
                <c:pt idx="3">
                  <c:v>0.36000000000001364</c:v>
                </c:pt>
                <c:pt idx="4">
                  <c:v>5.5499999999994998</c:v>
                </c:pt>
                <c:pt idx="5">
                  <c:v>7.9999999999998304</c:v>
                </c:pt>
                <c:pt idx="6">
                  <c:v>10.39999999999992</c:v>
                </c:pt>
                <c:pt idx="7">
                  <c:v>7.0000000000000284</c:v>
                </c:pt>
                <c:pt idx="8">
                  <c:v>3.1499999999997641</c:v>
                </c:pt>
                <c:pt idx="9">
                  <c:v>7.9666666666664554</c:v>
                </c:pt>
                <c:pt idx="10">
                  <c:v>7.6816000000002305</c:v>
                </c:pt>
                <c:pt idx="11">
                  <c:v>8.0000000000001847</c:v>
                </c:pt>
                <c:pt idx="12">
                  <c:v>7.1000000000001506</c:v>
                </c:pt>
                <c:pt idx="13">
                  <c:v>20.200000000000173</c:v>
                </c:pt>
                <c:pt idx="14">
                  <c:v>11.583333333333456</c:v>
                </c:pt>
                <c:pt idx="15">
                  <c:v>10.10000000000133</c:v>
                </c:pt>
                <c:pt idx="16">
                  <c:v>11.933333333333351</c:v>
                </c:pt>
                <c:pt idx="17">
                  <c:v>17.099999999999937</c:v>
                </c:pt>
                <c:pt idx="18">
                  <c:v>10.833333333334139</c:v>
                </c:pt>
                <c:pt idx="19">
                  <c:v>10.599999999999454</c:v>
                </c:pt>
                <c:pt idx="20">
                  <c:v>8.5499999999996135</c:v>
                </c:pt>
                <c:pt idx="26">
                  <c:v>7.83333333333296</c:v>
                </c:pt>
                <c:pt idx="27">
                  <c:v>8.5000000000000853</c:v>
                </c:pt>
                <c:pt idx="30">
                  <c:v>8.0000000000001847</c:v>
                </c:pt>
                <c:pt idx="31">
                  <c:v>5.549999999999855</c:v>
                </c:pt>
                <c:pt idx="32">
                  <c:v>2.5500000000000966</c:v>
                </c:pt>
                <c:pt idx="33">
                  <c:v>1.8000000000000682</c:v>
                </c:pt>
                <c:pt idx="35">
                  <c:v>3.7000000000002586</c:v>
                </c:pt>
                <c:pt idx="39">
                  <c:v>2.5999999999996248</c:v>
                </c:pt>
                <c:pt idx="40">
                  <c:v>5.1500000000000767</c:v>
                </c:pt>
                <c:pt idx="41">
                  <c:v>4.0500000000001535</c:v>
                </c:pt>
                <c:pt idx="44">
                  <c:v>2.5999999999999801</c:v>
                </c:pt>
                <c:pt idx="45">
                  <c:v>1.0500000000007503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43-4DCE-8B9F-B57BFF84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S4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'TOC-IC-pH'!$B$96:$B$140</c15:sqref>
                        </c15:formulaRef>
                      </c:ext>
                    </c:extLst>
                    <c:numCache>
                      <c:formatCode>0</c:formatCode>
                      <c:ptCount val="4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16</c:v>
                      </c:pt>
                      <c:pt idx="10">
                        <c:v>19</c:v>
                      </c:pt>
                      <c:pt idx="11">
                        <c:v>21</c:v>
                      </c:pt>
                      <c:pt idx="12">
                        <c:v>23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33</c:v>
                      </c:pt>
                      <c:pt idx="17">
                        <c:v>36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43</c:v>
                      </c:pt>
                      <c:pt idx="21">
                        <c:v>44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51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63</c:v>
                      </c:pt>
                      <c:pt idx="30">
                        <c:v>65</c:v>
                      </c:pt>
                      <c:pt idx="31">
                        <c:v>68</c:v>
                      </c:pt>
                      <c:pt idx="32">
                        <c:v>69</c:v>
                      </c:pt>
                      <c:pt idx="33">
                        <c:v>70</c:v>
                      </c:pt>
                      <c:pt idx="34">
                        <c:v>71</c:v>
                      </c:pt>
                      <c:pt idx="35">
                        <c:v>72</c:v>
                      </c:pt>
                      <c:pt idx="36">
                        <c:v>76</c:v>
                      </c:pt>
                      <c:pt idx="37">
                        <c:v>77</c:v>
                      </c:pt>
                      <c:pt idx="38">
                        <c:v>79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89</c:v>
                      </c:pt>
                      <c:pt idx="43">
                        <c:v>91</c:v>
                      </c:pt>
                      <c:pt idx="44">
                        <c:v>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'TOC-IC-pH'!$DF$96:$DF$140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45"/>
                      <c:pt idx="19">
                        <c:v>14.998183578633174</c:v>
                      </c:pt>
                      <c:pt idx="20">
                        <c:v>18.567994147788205</c:v>
                      </c:pt>
                      <c:pt idx="21">
                        <c:v>17.409766981606303</c:v>
                      </c:pt>
                      <c:pt idx="22">
                        <c:v>22.871747206340764</c:v>
                      </c:pt>
                      <c:pt idx="23">
                        <c:v>18.164172145385436</c:v>
                      </c:pt>
                      <c:pt idx="24">
                        <c:v>19.501714349943864</c:v>
                      </c:pt>
                      <c:pt idx="25">
                        <c:v>17.584329796295592</c:v>
                      </c:pt>
                      <c:pt idx="26">
                        <c:v>14.853559764045887</c:v>
                      </c:pt>
                      <c:pt idx="27">
                        <c:v>12.464451350223896</c:v>
                      </c:pt>
                      <c:pt idx="28">
                        <c:v>14.21860923697988</c:v>
                      </c:pt>
                      <c:pt idx="29">
                        <c:v>13.198203842940684</c:v>
                      </c:pt>
                      <c:pt idx="30">
                        <c:v>11.350576845583328</c:v>
                      </c:pt>
                      <c:pt idx="31">
                        <c:v>37.960205152779693</c:v>
                      </c:pt>
                      <c:pt idx="32">
                        <c:v>10.64789171337925</c:v>
                      </c:pt>
                      <c:pt idx="33">
                        <c:v>11.243910532754473</c:v>
                      </c:pt>
                      <c:pt idx="34">
                        <c:v>12.380248494148976</c:v>
                      </c:pt>
                      <c:pt idx="35">
                        <c:v>13.245322721976931</c:v>
                      </c:pt>
                      <c:pt idx="36">
                        <c:v>10.754087081815216</c:v>
                      </c:pt>
                      <c:pt idx="37">
                        <c:v>10.504244896786521</c:v>
                      </c:pt>
                      <c:pt idx="38">
                        <c:v>12.102411798360245</c:v>
                      </c:pt>
                      <c:pt idx="39">
                        <c:v>15.00495698020833</c:v>
                      </c:pt>
                      <c:pt idx="40">
                        <c:v>18.959911843919848</c:v>
                      </c:pt>
                      <c:pt idx="41">
                        <c:v>13.253698289042276</c:v>
                      </c:pt>
                      <c:pt idx="43">
                        <c:v>18.696268868390845</c:v>
                      </c:pt>
                      <c:pt idx="44">
                        <c:v>8.241014472623938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543-4DCE-8B9F-B57BFF84DE64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v>Sugar added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16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543-4DCE-8B9F-B57BFF84DE64}"/>
            </c:ext>
          </c:extLst>
        </c:ser>
        <c:ser>
          <c:idx val="4"/>
          <c:order val="4"/>
          <c:tx>
            <c:v>Start MBR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42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543-4DCE-8B9F-B57BFF84DE64}"/>
            </c:ext>
          </c:extLst>
        </c:ser>
        <c:ser>
          <c:idx val="5"/>
          <c:order val="5"/>
          <c:tx>
            <c:v>sludges leaked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68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543-4DCE-8B9F-B57BFF84DE64}"/>
            </c:ext>
          </c:extLst>
        </c:ser>
        <c:ser>
          <c:idx val="6"/>
          <c:order val="6"/>
          <c:tx>
            <c:v>MLSS/MLVSS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'MLSS-MLVSS (S1)'!$B$62:$B$107</c:f>
              <c:numCache>
                <c:formatCode>0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33</c:v>
                </c:pt>
                <c:pt idx="18">
                  <c:v>36</c:v>
                </c:pt>
                <c:pt idx="19">
                  <c:v>40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58</c:v>
                </c:pt>
                <c:pt idx="30">
                  <c:v>63</c:v>
                </c:pt>
                <c:pt idx="31">
                  <c:v>65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89</c:v>
                </c:pt>
                <c:pt idx="44">
                  <c:v>91</c:v>
                </c:pt>
                <c:pt idx="45">
                  <c:v>96</c:v>
                </c:pt>
              </c:numCache>
            </c:numRef>
          </c:xVal>
          <c:yVal>
            <c:numRef>
              <c:f>'MLSS-MLVSS (S1)'!$O$62:$O$107</c:f>
              <c:numCache>
                <c:formatCode>_(* #,##0.00_);_(* \(#,##0.00\);_(* "-"??_);_(@_)</c:formatCode>
                <c:ptCount val="46"/>
                <c:pt idx="0">
                  <c:v>2.3333333333332593</c:v>
                </c:pt>
                <c:pt idx="1">
                  <c:v>1.7575757575753006</c:v>
                </c:pt>
                <c:pt idx="2">
                  <c:v>1.2142857142860723</c:v>
                </c:pt>
                <c:pt idx="3">
                  <c:v>1.3333333333332718</c:v>
                </c:pt>
                <c:pt idx="4">
                  <c:v>1.7117117117118676</c:v>
                </c:pt>
                <c:pt idx="5">
                  <c:v>1.5437500000000333</c:v>
                </c:pt>
                <c:pt idx="6">
                  <c:v>1.5352564102564217</c:v>
                </c:pt>
                <c:pt idx="7">
                  <c:v>1.4928571428571364</c:v>
                </c:pt>
                <c:pt idx="8">
                  <c:v>1.4074074074075129</c:v>
                </c:pt>
                <c:pt idx="9">
                  <c:v>1.4414225941422969</c:v>
                </c:pt>
                <c:pt idx="10">
                  <c:v>1.338002499479235</c:v>
                </c:pt>
                <c:pt idx="11">
                  <c:v>1.5124999999999651</c:v>
                </c:pt>
                <c:pt idx="12">
                  <c:v>1.5680751173708605</c:v>
                </c:pt>
                <c:pt idx="13">
                  <c:v>1.2466996699669857</c:v>
                </c:pt>
                <c:pt idx="14">
                  <c:v>1.325179856115094</c:v>
                </c:pt>
                <c:pt idx="15">
                  <c:v>1.4257425742572383</c:v>
                </c:pt>
                <c:pt idx="16">
                  <c:v>1.3114525139664788</c:v>
                </c:pt>
                <c:pt idx="17">
                  <c:v>1.2573099415204725</c:v>
                </c:pt>
                <c:pt idx="18">
                  <c:v>1.2953846153845183</c:v>
                </c:pt>
                <c:pt idx="19">
                  <c:v>1.3144654088050989</c:v>
                </c:pt>
                <c:pt idx="20">
                  <c:v>1.2241715399610693</c:v>
                </c:pt>
                <c:pt idx="26">
                  <c:v>1.3574468085107037</c:v>
                </c:pt>
                <c:pt idx="27">
                  <c:v>1.6470588235293955</c:v>
                </c:pt>
                <c:pt idx="30">
                  <c:v>1.3562499999999691</c:v>
                </c:pt>
                <c:pt idx="31">
                  <c:v>1.459459459459497</c:v>
                </c:pt>
                <c:pt idx="32">
                  <c:v>1.5098039215685695</c:v>
                </c:pt>
                <c:pt idx="33">
                  <c:v>4.4999999999998304</c:v>
                </c:pt>
                <c:pt idx="35">
                  <c:v>1.4999999999998981</c:v>
                </c:pt>
                <c:pt idx="39">
                  <c:v>1.750000000000252</c:v>
                </c:pt>
                <c:pt idx="40">
                  <c:v>1.5436893203883268</c:v>
                </c:pt>
                <c:pt idx="41">
                  <c:v>1.5555555555554978</c:v>
                </c:pt>
                <c:pt idx="44">
                  <c:v>1.6346153846153963</c:v>
                </c:pt>
                <c:pt idx="45">
                  <c:v>2.0476190476175811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43-4DCE-8B9F-B57BFF84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7888"/>
        <c:axId val="751273136"/>
      </c:scatterChart>
      <c:valAx>
        <c:axId val="60202277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  <c:majorUnit val="10"/>
        <c:minorUnit val="5"/>
      </c:valAx>
      <c:valAx>
        <c:axId val="60201785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USAB sludge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valAx>
        <c:axId val="751273136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MLSS/MLVSS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267888"/>
        <c:crosses val="max"/>
        <c:crossBetween val="midCat"/>
      </c:valAx>
      <c:valAx>
        <c:axId val="75126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27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7141299674829655"/>
          <c:y val="5.7753394345923789E-2"/>
          <c:w val="0.14944021731278814"/>
          <c:h val="0.2197873384077618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MLSS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'MLSS-MLVSS (S1)'!$B$62:$B$107</c:f>
              <c:numCache>
                <c:formatCode>0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33</c:v>
                </c:pt>
                <c:pt idx="18">
                  <c:v>36</c:v>
                </c:pt>
                <c:pt idx="19">
                  <c:v>40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58</c:v>
                </c:pt>
                <c:pt idx="30">
                  <c:v>63</c:v>
                </c:pt>
                <c:pt idx="31">
                  <c:v>65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89</c:v>
                </c:pt>
                <c:pt idx="44">
                  <c:v>91</c:v>
                </c:pt>
                <c:pt idx="45">
                  <c:v>96</c:v>
                </c:pt>
              </c:numCache>
            </c:numRef>
          </c:xVal>
          <c:yVal>
            <c:numRef>
              <c:f>'MLSS-MLVSS (S1)'!$AA$62:$AA$107</c:f>
              <c:numCache>
                <c:formatCode>_(* #,##0.00_);_(* \(#,##0.00\);_(* "-"??_);_(@_)</c:formatCode>
                <c:ptCount val="46"/>
                <c:pt idx="20">
                  <c:v>5.7866666666666688</c:v>
                </c:pt>
                <c:pt idx="21">
                  <c:v>7.3333333333333339</c:v>
                </c:pt>
                <c:pt idx="26">
                  <c:v>14.600000000000001</c:v>
                </c:pt>
                <c:pt idx="27">
                  <c:v>6.95</c:v>
                </c:pt>
                <c:pt idx="28">
                  <c:v>14.283333333333337</c:v>
                </c:pt>
                <c:pt idx="29">
                  <c:v>14.050000000000008</c:v>
                </c:pt>
                <c:pt idx="30">
                  <c:v>11.80000000000001</c:v>
                </c:pt>
                <c:pt idx="31">
                  <c:v>8.2999999999999972</c:v>
                </c:pt>
                <c:pt idx="32">
                  <c:v>0.59999999999999498</c:v>
                </c:pt>
                <c:pt idx="33">
                  <c:v>1.3500000000000068</c:v>
                </c:pt>
                <c:pt idx="34">
                  <c:v>3.2499999999999973</c:v>
                </c:pt>
                <c:pt idx="35">
                  <c:v>5.0499999999999989</c:v>
                </c:pt>
                <c:pt idx="36">
                  <c:v>4.8999999999999932</c:v>
                </c:pt>
                <c:pt idx="37">
                  <c:v>5.1500000000000101</c:v>
                </c:pt>
                <c:pt idx="38">
                  <c:v>5.2500000000000098</c:v>
                </c:pt>
                <c:pt idx="39">
                  <c:v>3.7000000000000144</c:v>
                </c:pt>
                <c:pt idx="40">
                  <c:v>3.1333333333333324</c:v>
                </c:pt>
                <c:pt idx="41">
                  <c:v>5.2875000000000005</c:v>
                </c:pt>
                <c:pt idx="44">
                  <c:v>6.8500000000000005</c:v>
                </c:pt>
                <c:pt idx="45">
                  <c:v>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0-4055-90BE-17D3E98CB1E1}"/>
            </c:ext>
          </c:extLst>
        </c:ser>
        <c:ser>
          <c:idx val="2"/>
          <c:order val="1"/>
          <c:tx>
            <c:v>MLVSS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'MLSS-MLVSS (S1)'!$B$62:$B$107</c:f>
              <c:numCache>
                <c:formatCode>0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33</c:v>
                </c:pt>
                <c:pt idx="18">
                  <c:v>36</c:v>
                </c:pt>
                <c:pt idx="19">
                  <c:v>40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58</c:v>
                </c:pt>
                <c:pt idx="30">
                  <c:v>63</c:v>
                </c:pt>
                <c:pt idx="31">
                  <c:v>65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89</c:v>
                </c:pt>
                <c:pt idx="44">
                  <c:v>91</c:v>
                </c:pt>
                <c:pt idx="45">
                  <c:v>96</c:v>
                </c:pt>
              </c:numCache>
            </c:numRef>
          </c:xVal>
          <c:yVal>
            <c:numRef>
              <c:f>'MLSS-MLVSS (S1)'!$AD$62:$AD$107</c:f>
              <c:numCache>
                <c:formatCode>General</c:formatCode>
                <c:ptCount val="46"/>
                <c:pt idx="20" formatCode="_(* #,##0.00_);_(* \(#,##0.00\);_(* &quot;-&quot;??_);_(@_)">
                  <c:v>1.6533333333330802</c:v>
                </c:pt>
                <c:pt idx="21" formatCode="_(* #,##0.00_);_(* \(#,##0.00\);_(* &quot;-&quot;??_);_(@_)">
                  <c:v>2.5866666666667015</c:v>
                </c:pt>
                <c:pt idx="26" formatCode="_(* #,##0.00_);_(* \(#,##0.00\);_(* &quot;-&quot;??_);_(@_)">
                  <c:v>8.3499999999997243</c:v>
                </c:pt>
                <c:pt idx="28" formatCode="_(* #,##0.00_);_(* \(#,##0.00\);_(* &quot;-&quot;??_);_(@_)">
                  <c:v>8.2499999999996021</c:v>
                </c:pt>
                <c:pt idx="29" formatCode="_(* #,##0.00_);_(* \(#,##0.00\);_(* &quot;-&quot;??_);_(@_)">
                  <c:v>8.283333333334042</c:v>
                </c:pt>
                <c:pt idx="30" formatCode="_(* #,##0.00_);_(* \(#,##0.00\);_(* &quot;-&quot;??_);_(@_)">
                  <c:v>7.3999999999998067</c:v>
                </c:pt>
                <c:pt idx="31" formatCode="_(* #,##0.00_);_(* \(#,##0.00\);_(* &quot;-&quot;??_);_(@_)">
                  <c:v>5.4500000000000881</c:v>
                </c:pt>
                <c:pt idx="32" formatCode="_(* #,##0.00_);_(* \(#,##0.00\);_(* &quot;-&quot;??_);_(@_)">
                  <c:v>0.35000000000025011</c:v>
                </c:pt>
                <c:pt idx="33" formatCode="_(* #,##0.00_);_(* \(#,##0.00\);_(* &quot;-&quot;??_);_(@_)">
                  <c:v>0.49999999999954531</c:v>
                </c:pt>
                <c:pt idx="34" formatCode="_(* #,##0.00_);_(* \(#,##0.00\);_(* &quot;-&quot;??_);_(@_)">
                  <c:v>1.2000000000000455</c:v>
                </c:pt>
                <c:pt idx="35" formatCode="_(* #,##0.00_);_(* \(#,##0.00\);_(* &quot;-&quot;??_);_(@_)">
                  <c:v>1.699999999999946</c:v>
                </c:pt>
                <c:pt idx="36" formatCode="_(* #,##0.00_);_(* \(#,##0.00\);_(* &quot;-&quot;??_);_(@_)">
                  <c:v>1.7499999999998295</c:v>
                </c:pt>
                <c:pt idx="37">
                  <c:v>1.9999999999999576</c:v>
                </c:pt>
                <c:pt idx="38">
                  <c:v>1.6999999999995907</c:v>
                </c:pt>
                <c:pt idx="39">
                  <c:v>1.8000000000000682</c:v>
                </c:pt>
                <c:pt idx="40">
                  <c:v>1.8000000000000682</c:v>
                </c:pt>
                <c:pt idx="41">
                  <c:v>1.8499999999999517</c:v>
                </c:pt>
                <c:pt idx="44">
                  <c:v>3.2000000000000028</c:v>
                </c:pt>
                <c:pt idx="45">
                  <c:v>2.850000000000108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0-4055-90BE-17D3E98CB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S4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'TOC-IC-pH'!$B$96:$B$140</c15:sqref>
                        </c15:formulaRef>
                      </c:ext>
                    </c:extLst>
                    <c:numCache>
                      <c:formatCode>0</c:formatCode>
                      <c:ptCount val="4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16</c:v>
                      </c:pt>
                      <c:pt idx="10">
                        <c:v>19</c:v>
                      </c:pt>
                      <c:pt idx="11">
                        <c:v>21</c:v>
                      </c:pt>
                      <c:pt idx="12">
                        <c:v>23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33</c:v>
                      </c:pt>
                      <c:pt idx="17">
                        <c:v>36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43</c:v>
                      </c:pt>
                      <c:pt idx="21">
                        <c:v>44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51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63</c:v>
                      </c:pt>
                      <c:pt idx="30">
                        <c:v>65</c:v>
                      </c:pt>
                      <c:pt idx="31">
                        <c:v>68</c:v>
                      </c:pt>
                      <c:pt idx="32">
                        <c:v>69</c:v>
                      </c:pt>
                      <c:pt idx="33">
                        <c:v>70</c:v>
                      </c:pt>
                      <c:pt idx="34">
                        <c:v>71</c:v>
                      </c:pt>
                      <c:pt idx="35">
                        <c:v>72</c:v>
                      </c:pt>
                      <c:pt idx="36">
                        <c:v>76</c:v>
                      </c:pt>
                      <c:pt idx="37">
                        <c:v>77</c:v>
                      </c:pt>
                      <c:pt idx="38">
                        <c:v>79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89</c:v>
                      </c:pt>
                      <c:pt idx="43">
                        <c:v>91</c:v>
                      </c:pt>
                      <c:pt idx="44">
                        <c:v>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'TOC-IC-pH'!$DF$96:$DF$140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45"/>
                      <c:pt idx="19">
                        <c:v>14.998183578633174</c:v>
                      </c:pt>
                      <c:pt idx="20">
                        <c:v>18.567994147788205</c:v>
                      </c:pt>
                      <c:pt idx="21">
                        <c:v>17.409766981606303</c:v>
                      </c:pt>
                      <c:pt idx="22">
                        <c:v>22.871747206340764</c:v>
                      </c:pt>
                      <c:pt idx="23">
                        <c:v>18.164172145385436</c:v>
                      </c:pt>
                      <c:pt idx="24">
                        <c:v>19.501714349943864</c:v>
                      </c:pt>
                      <c:pt idx="25">
                        <c:v>17.584329796295592</c:v>
                      </c:pt>
                      <c:pt idx="26">
                        <c:v>14.853559764045887</c:v>
                      </c:pt>
                      <c:pt idx="27">
                        <c:v>12.464451350223896</c:v>
                      </c:pt>
                      <c:pt idx="28">
                        <c:v>14.21860923697988</c:v>
                      </c:pt>
                      <c:pt idx="29">
                        <c:v>13.198203842940684</c:v>
                      </c:pt>
                      <c:pt idx="30">
                        <c:v>11.350576845583328</c:v>
                      </c:pt>
                      <c:pt idx="31">
                        <c:v>37.960205152779693</c:v>
                      </c:pt>
                      <c:pt idx="32">
                        <c:v>10.64789171337925</c:v>
                      </c:pt>
                      <c:pt idx="33">
                        <c:v>11.243910532754473</c:v>
                      </c:pt>
                      <c:pt idx="34">
                        <c:v>12.380248494148976</c:v>
                      </c:pt>
                      <c:pt idx="35">
                        <c:v>13.245322721976931</c:v>
                      </c:pt>
                      <c:pt idx="36">
                        <c:v>10.754087081815216</c:v>
                      </c:pt>
                      <c:pt idx="37">
                        <c:v>10.504244896786521</c:v>
                      </c:pt>
                      <c:pt idx="38">
                        <c:v>12.102411798360245</c:v>
                      </c:pt>
                      <c:pt idx="39">
                        <c:v>15.00495698020833</c:v>
                      </c:pt>
                      <c:pt idx="40">
                        <c:v>18.959911843919848</c:v>
                      </c:pt>
                      <c:pt idx="41">
                        <c:v>13.253698289042276</c:v>
                      </c:pt>
                      <c:pt idx="43">
                        <c:v>18.696268868390845</c:v>
                      </c:pt>
                      <c:pt idx="44">
                        <c:v>8.241014472623938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D80-4055-90BE-17D3E98CB1E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v>Sugar added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16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D80-4055-90BE-17D3E98CB1E1}"/>
            </c:ext>
          </c:extLst>
        </c:ser>
        <c:ser>
          <c:idx val="4"/>
          <c:order val="4"/>
          <c:tx>
            <c:v>Start MBR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42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D80-4055-90BE-17D3E98CB1E1}"/>
            </c:ext>
          </c:extLst>
        </c:ser>
        <c:ser>
          <c:idx val="5"/>
          <c:order val="5"/>
          <c:tx>
            <c:v>sludges leaked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68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D80-4055-90BE-17D3E98CB1E1}"/>
            </c:ext>
          </c:extLst>
        </c:ser>
        <c:ser>
          <c:idx val="6"/>
          <c:order val="6"/>
          <c:tx>
            <c:v>MLSS/MLVSS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'MLSS-MLVSS (S1)'!$B$62:$B$107</c:f>
              <c:numCache>
                <c:formatCode>0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33</c:v>
                </c:pt>
                <c:pt idx="18">
                  <c:v>36</c:v>
                </c:pt>
                <c:pt idx="19">
                  <c:v>40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58</c:v>
                </c:pt>
                <c:pt idx="30">
                  <c:v>63</c:v>
                </c:pt>
                <c:pt idx="31">
                  <c:v>65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89</c:v>
                </c:pt>
                <c:pt idx="44">
                  <c:v>91</c:v>
                </c:pt>
                <c:pt idx="45">
                  <c:v>96</c:v>
                </c:pt>
              </c:numCache>
            </c:numRef>
          </c:xVal>
          <c:yVal>
            <c:numRef>
              <c:f>'MLSS-MLVSS (S1)'!$AE$62:$AE$107</c:f>
              <c:numCache>
                <c:formatCode>_(* #,##0.00_);_(* \(#,##0.00\);_(* "-"??_);_(@_)</c:formatCode>
                <c:ptCount val="46"/>
                <c:pt idx="20">
                  <c:v>3.5000000000005373</c:v>
                </c:pt>
                <c:pt idx="21">
                  <c:v>2.8350515463917145</c:v>
                </c:pt>
                <c:pt idx="26">
                  <c:v>1.748502994012034</c:v>
                </c:pt>
                <c:pt idx="28">
                  <c:v>1.7313131313132153</c:v>
                </c:pt>
                <c:pt idx="29">
                  <c:v>1.6961770623741013</c:v>
                </c:pt>
                <c:pt idx="30">
                  <c:v>1.5945945945946376</c:v>
                </c:pt>
                <c:pt idx="31">
                  <c:v>1.5229357798164886</c:v>
                </c:pt>
                <c:pt idx="32">
                  <c:v>1.714285714284475</c:v>
                </c:pt>
                <c:pt idx="33">
                  <c:v>2.7000000000024689</c:v>
                </c:pt>
                <c:pt idx="34">
                  <c:v>2.7083333333332287</c:v>
                </c:pt>
                <c:pt idx="35">
                  <c:v>2.9705882352942115</c:v>
                </c:pt>
                <c:pt idx="36">
                  <c:v>2.8000000000002689</c:v>
                </c:pt>
                <c:pt idx="37">
                  <c:v>2.5750000000000597</c:v>
                </c:pt>
                <c:pt idx="38">
                  <c:v>3.0882352941183964</c:v>
                </c:pt>
                <c:pt idx="39">
                  <c:v>2.0555555555554856</c:v>
                </c:pt>
                <c:pt idx="40">
                  <c:v>1.7407407407406743</c:v>
                </c:pt>
                <c:pt idx="41">
                  <c:v>2.8581081081081829</c:v>
                </c:pt>
                <c:pt idx="44">
                  <c:v>2.1406249999999982</c:v>
                </c:pt>
                <c:pt idx="45">
                  <c:v>2.2280701754385119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80-4055-90BE-17D3E98CB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7888"/>
        <c:axId val="751273136"/>
      </c:scatterChart>
      <c:valAx>
        <c:axId val="60202277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  <c:majorUnit val="10"/>
        <c:minorUnit val="5"/>
      </c:valAx>
      <c:valAx>
        <c:axId val="60201785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MBR sludge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valAx>
        <c:axId val="751273136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MLSS/MLVSS</a:t>
                </a:r>
                <a:r>
                  <a:rPr lang="en-US" b="1" baseline="0"/>
                  <a:t> ratio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267888"/>
        <c:crosses val="max"/>
        <c:crossBetween val="midCat"/>
      </c:valAx>
      <c:valAx>
        <c:axId val="75126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27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7141299674829655"/>
          <c:y val="5.7753394345923789E-2"/>
          <c:w val="0.14944021731278814"/>
          <c:h val="0.2197873384077618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38341855669917E-2"/>
          <c:y val="4.1143196506363784E-2"/>
          <c:w val="0.85854254847730105"/>
          <c:h val="0.789874444444444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'MLSS-MLVSS (S1)'!$AA$2</c:f>
              <c:strCache>
                <c:ptCount val="1"/>
                <c:pt idx="0">
                  <c:v> MLSS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'MLSS-MLVSS (S1)'!$B$62:$B$130</c:f>
              <c:numCache>
                <c:formatCode>0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33</c:v>
                </c:pt>
                <c:pt idx="18">
                  <c:v>36</c:v>
                </c:pt>
                <c:pt idx="19">
                  <c:v>40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58</c:v>
                </c:pt>
                <c:pt idx="30">
                  <c:v>63</c:v>
                </c:pt>
                <c:pt idx="31">
                  <c:v>65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89</c:v>
                </c:pt>
                <c:pt idx="44">
                  <c:v>91</c:v>
                </c:pt>
                <c:pt idx="45">
                  <c:v>96</c:v>
                </c:pt>
                <c:pt idx="46">
                  <c:v>107</c:v>
                </c:pt>
                <c:pt idx="47">
                  <c:v>117</c:v>
                </c:pt>
                <c:pt idx="48">
                  <c:v>124</c:v>
                </c:pt>
                <c:pt idx="49">
                  <c:v>131</c:v>
                </c:pt>
                <c:pt idx="50">
                  <c:v>138</c:v>
                </c:pt>
                <c:pt idx="51">
                  <c:v>145</c:v>
                </c:pt>
                <c:pt idx="52">
                  <c:v>147</c:v>
                </c:pt>
                <c:pt idx="53">
                  <c:v>149</c:v>
                </c:pt>
                <c:pt idx="54">
                  <c:v>152</c:v>
                </c:pt>
                <c:pt idx="55">
                  <c:v>154</c:v>
                </c:pt>
                <c:pt idx="56">
                  <c:v>167</c:v>
                </c:pt>
                <c:pt idx="57">
                  <c:v>174</c:v>
                </c:pt>
                <c:pt idx="58">
                  <c:v>181</c:v>
                </c:pt>
                <c:pt idx="59">
                  <c:v>187</c:v>
                </c:pt>
                <c:pt idx="60">
                  <c:v>190</c:v>
                </c:pt>
                <c:pt idx="61">
                  <c:v>195</c:v>
                </c:pt>
                <c:pt idx="62">
                  <c:v>196</c:v>
                </c:pt>
                <c:pt idx="63">
                  <c:v>197</c:v>
                </c:pt>
                <c:pt idx="64">
                  <c:v>198</c:v>
                </c:pt>
                <c:pt idx="65">
                  <c:v>199</c:v>
                </c:pt>
                <c:pt idx="66">
                  <c:v>200</c:v>
                </c:pt>
                <c:pt idx="67">
                  <c:v>201</c:v>
                </c:pt>
                <c:pt idx="68">
                  <c:v>202</c:v>
                </c:pt>
              </c:numCache>
            </c:numRef>
          </c:cat>
          <c:val>
            <c:numRef>
              <c:f>'MLSS-MLVSS (S1)'!$AA$62:$AA$130</c:f>
              <c:numCache>
                <c:formatCode>_(* #,##0.00_);_(* \(#,##0.00\);_(* "-"??_);_(@_)</c:formatCode>
                <c:ptCount val="69"/>
                <c:pt idx="20">
                  <c:v>5.7866666666666688</c:v>
                </c:pt>
                <c:pt idx="21">
                  <c:v>7.3333333333333339</c:v>
                </c:pt>
                <c:pt idx="26">
                  <c:v>14.600000000000001</c:v>
                </c:pt>
                <c:pt idx="27">
                  <c:v>6.95</c:v>
                </c:pt>
                <c:pt idx="28">
                  <c:v>14.283333333333337</c:v>
                </c:pt>
                <c:pt idx="29">
                  <c:v>14.050000000000008</c:v>
                </c:pt>
                <c:pt idx="30">
                  <c:v>11.80000000000001</c:v>
                </c:pt>
                <c:pt idx="31">
                  <c:v>8.2999999999999972</c:v>
                </c:pt>
                <c:pt idx="32">
                  <c:v>0.59999999999999498</c:v>
                </c:pt>
                <c:pt idx="33">
                  <c:v>1.3500000000000068</c:v>
                </c:pt>
                <c:pt idx="34">
                  <c:v>3.2499999999999973</c:v>
                </c:pt>
                <c:pt idx="35">
                  <c:v>5.0499999999999989</c:v>
                </c:pt>
                <c:pt idx="36">
                  <c:v>4.8999999999999932</c:v>
                </c:pt>
                <c:pt idx="37">
                  <c:v>5.1500000000000101</c:v>
                </c:pt>
                <c:pt idx="38">
                  <c:v>5.2500000000000098</c:v>
                </c:pt>
                <c:pt idx="39">
                  <c:v>3.7000000000000144</c:v>
                </c:pt>
                <c:pt idx="40">
                  <c:v>3.1333333333333324</c:v>
                </c:pt>
                <c:pt idx="41">
                  <c:v>5.2875000000000005</c:v>
                </c:pt>
                <c:pt idx="44">
                  <c:v>6.8500000000000005</c:v>
                </c:pt>
                <c:pt idx="45">
                  <c:v>6.35</c:v>
                </c:pt>
                <c:pt idx="46">
                  <c:v>14.550000000000002</c:v>
                </c:pt>
                <c:pt idx="47">
                  <c:v>16.350000000000005</c:v>
                </c:pt>
                <c:pt idx="48">
                  <c:v>16.200000000000003</c:v>
                </c:pt>
                <c:pt idx="49">
                  <c:v>16.45000000000001</c:v>
                </c:pt>
                <c:pt idx="50">
                  <c:v>16.499999999999996</c:v>
                </c:pt>
                <c:pt idx="51">
                  <c:v>11.600000000000005</c:v>
                </c:pt>
                <c:pt idx="54">
                  <c:v>19.700000000000003</c:v>
                </c:pt>
                <c:pt idx="56">
                  <c:v>19.10000000000025</c:v>
                </c:pt>
                <c:pt idx="57">
                  <c:v>18.649999999999878</c:v>
                </c:pt>
                <c:pt idx="58">
                  <c:v>29.050000000000153</c:v>
                </c:pt>
                <c:pt idx="59">
                  <c:v>27.449999999999974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0-45B9-BDFC-6259B5A42644}"/>
            </c:ext>
          </c:extLst>
        </c:ser>
        <c:ser>
          <c:idx val="1"/>
          <c:order val="1"/>
          <c:tx>
            <c:strRef>
              <c:f>'MLSS-MLVSS (S1)'!$AD$2</c:f>
              <c:strCache>
                <c:ptCount val="1"/>
                <c:pt idx="0">
                  <c:v>MLVSS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'MLSS-MLVSS (S1)'!$B$62:$B$130</c:f>
              <c:numCache>
                <c:formatCode>0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33</c:v>
                </c:pt>
                <c:pt idx="18">
                  <c:v>36</c:v>
                </c:pt>
                <c:pt idx="19">
                  <c:v>40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58</c:v>
                </c:pt>
                <c:pt idx="30">
                  <c:v>63</c:v>
                </c:pt>
                <c:pt idx="31">
                  <c:v>65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89</c:v>
                </c:pt>
                <c:pt idx="44">
                  <c:v>91</c:v>
                </c:pt>
                <c:pt idx="45">
                  <c:v>96</c:v>
                </c:pt>
                <c:pt idx="46">
                  <c:v>107</c:v>
                </c:pt>
                <c:pt idx="47">
                  <c:v>117</c:v>
                </c:pt>
                <c:pt idx="48">
                  <c:v>124</c:v>
                </c:pt>
                <c:pt idx="49">
                  <c:v>131</c:v>
                </c:pt>
                <c:pt idx="50">
                  <c:v>138</c:v>
                </c:pt>
                <c:pt idx="51">
                  <c:v>145</c:v>
                </c:pt>
                <c:pt idx="52">
                  <c:v>147</c:v>
                </c:pt>
                <c:pt idx="53">
                  <c:v>149</c:v>
                </c:pt>
                <c:pt idx="54">
                  <c:v>152</c:v>
                </c:pt>
                <c:pt idx="55">
                  <c:v>154</c:v>
                </c:pt>
                <c:pt idx="56">
                  <c:v>167</c:v>
                </c:pt>
                <c:pt idx="57">
                  <c:v>174</c:v>
                </c:pt>
                <c:pt idx="58">
                  <c:v>181</c:v>
                </c:pt>
                <c:pt idx="59">
                  <c:v>187</c:v>
                </c:pt>
                <c:pt idx="60">
                  <c:v>190</c:v>
                </c:pt>
                <c:pt idx="61">
                  <c:v>195</c:v>
                </c:pt>
                <c:pt idx="62">
                  <c:v>196</c:v>
                </c:pt>
                <c:pt idx="63">
                  <c:v>197</c:v>
                </c:pt>
                <c:pt idx="64">
                  <c:v>198</c:v>
                </c:pt>
                <c:pt idx="65">
                  <c:v>199</c:v>
                </c:pt>
                <c:pt idx="66">
                  <c:v>200</c:v>
                </c:pt>
                <c:pt idx="67">
                  <c:v>201</c:v>
                </c:pt>
                <c:pt idx="68">
                  <c:v>202</c:v>
                </c:pt>
              </c:numCache>
            </c:numRef>
          </c:cat>
          <c:val>
            <c:numRef>
              <c:f>'MLSS-MLVSS (S1)'!$AD$62:$AD$130</c:f>
              <c:numCache>
                <c:formatCode>General</c:formatCode>
                <c:ptCount val="69"/>
                <c:pt idx="20" formatCode="_(* #,##0.00_);_(* \(#,##0.00\);_(* &quot;-&quot;??_);_(@_)">
                  <c:v>1.6533333333330802</c:v>
                </c:pt>
                <c:pt idx="21" formatCode="_(* #,##0.00_);_(* \(#,##0.00\);_(* &quot;-&quot;??_);_(@_)">
                  <c:v>2.5866666666667015</c:v>
                </c:pt>
                <c:pt idx="26" formatCode="_(* #,##0.00_);_(* \(#,##0.00\);_(* &quot;-&quot;??_);_(@_)">
                  <c:v>8.3499999999997243</c:v>
                </c:pt>
                <c:pt idx="28" formatCode="_(* #,##0.00_);_(* \(#,##0.00\);_(* &quot;-&quot;??_);_(@_)">
                  <c:v>8.2499999999996021</c:v>
                </c:pt>
                <c:pt idx="29" formatCode="_(* #,##0.00_);_(* \(#,##0.00\);_(* &quot;-&quot;??_);_(@_)">
                  <c:v>8.283333333334042</c:v>
                </c:pt>
                <c:pt idx="30" formatCode="_(* #,##0.00_);_(* \(#,##0.00\);_(* &quot;-&quot;??_);_(@_)">
                  <c:v>7.3999999999998067</c:v>
                </c:pt>
                <c:pt idx="31" formatCode="_(* #,##0.00_);_(* \(#,##0.00\);_(* &quot;-&quot;??_);_(@_)">
                  <c:v>5.4500000000000881</c:v>
                </c:pt>
                <c:pt idx="32" formatCode="_(* #,##0.00_);_(* \(#,##0.00\);_(* &quot;-&quot;??_);_(@_)">
                  <c:v>0.35000000000025011</c:v>
                </c:pt>
                <c:pt idx="33" formatCode="_(* #,##0.00_);_(* \(#,##0.00\);_(* &quot;-&quot;??_);_(@_)">
                  <c:v>0.49999999999954531</c:v>
                </c:pt>
                <c:pt idx="34" formatCode="_(* #,##0.00_);_(* \(#,##0.00\);_(* &quot;-&quot;??_);_(@_)">
                  <c:v>1.2000000000000455</c:v>
                </c:pt>
                <c:pt idx="35" formatCode="_(* #,##0.00_);_(* \(#,##0.00\);_(* &quot;-&quot;??_);_(@_)">
                  <c:v>1.699999999999946</c:v>
                </c:pt>
                <c:pt idx="36" formatCode="_(* #,##0.00_);_(* \(#,##0.00\);_(* &quot;-&quot;??_);_(@_)">
                  <c:v>1.7499999999998295</c:v>
                </c:pt>
                <c:pt idx="37">
                  <c:v>1.9999999999999576</c:v>
                </c:pt>
                <c:pt idx="38">
                  <c:v>1.6999999999995907</c:v>
                </c:pt>
                <c:pt idx="39">
                  <c:v>1.8000000000000682</c:v>
                </c:pt>
                <c:pt idx="40">
                  <c:v>1.8000000000000682</c:v>
                </c:pt>
                <c:pt idx="41">
                  <c:v>1.8499999999999517</c:v>
                </c:pt>
                <c:pt idx="44">
                  <c:v>3.2000000000000028</c:v>
                </c:pt>
                <c:pt idx="45">
                  <c:v>2.850000000000108</c:v>
                </c:pt>
                <c:pt idx="46">
                  <c:v>8.2499999999999574</c:v>
                </c:pt>
                <c:pt idx="47">
                  <c:v>9.8500000000001364</c:v>
                </c:pt>
                <c:pt idx="48">
                  <c:v>10.249999999999915</c:v>
                </c:pt>
                <c:pt idx="49">
                  <c:v>10.500000000000398</c:v>
                </c:pt>
                <c:pt idx="51">
                  <c:v>8.0999999999999517</c:v>
                </c:pt>
                <c:pt idx="54">
                  <c:v>11.650000000000205</c:v>
                </c:pt>
                <c:pt idx="56">
                  <c:v>11.795000000000044</c:v>
                </c:pt>
                <c:pt idx="57">
                  <c:v>11.465000000000103</c:v>
                </c:pt>
                <c:pt idx="58" formatCode="_(* #,##0.00_);_(* \(#,##0.00\);_(* &quot;-&quot;??_);_(@_)">
                  <c:v>17.22999999999999</c:v>
                </c:pt>
                <c:pt idx="59" formatCode="_(* #,##0.00_);_(* \(#,##0.00\);_(* &quot;-&quot;??_);_(@_)">
                  <c:v>16.639999999999944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0-45B9-BDFC-6259B5A4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82918072"/>
        <c:axId val="1873998919"/>
      </c:barChart>
      <c:scatterChart>
        <c:scatterStyle val="lineMarker"/>
        <c:varyColors val="0"/>
        <c:ser>
          <c:idx val="2"/>
          <c:order val="2"/>
          <c:tx>
            <c:v>MLSS/MLVSS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'MLSS-MLVSS (S1)'!$B$62:$B$130</c:f>
              <c:numCache>
                <c:formatCode>0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33</c:v>
                </c:pt>
                <c:pt idx="18">
                  <c:v>36</c:v>
                </c:pt>
                <c:pt idx="19">
                  <c:v>40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58</c:v>
                </c:pt>
                <c:pt idx="30">
                  <c:v>63</c:v>
                </c:pt>
                <c:pt idx="31">
                  <c:v>65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89</c:v>
                </c:pt>
                <c:pt idx="44">
                  <c:v>91</c:v>
                </c:pt>
                <c:pt idx="45">
                  <c:v>96</c:v>
                </c:pt>
                <c:pt idx="46">
                  <c:v>107</c:v>
                </c:pt>
                <c:pt idx="47">
                  <c:v>117</c:v>
                </c:pt>
                <c:pt idx="48">
                  <c:v>124</c:v>
                </c:pt>
                <c:pt idx="49">
                  <c:v>131</c:v>
                </c:pt>
                <c:pt idx="50">
                  <c:v>138</c:v>
                </c:pt>
                <c:pt idx="51">
                  <c:v>145</c:v>
                </c:pt>
                <c:pt idx="52">
                  <c:v>147</c:v>
                </c:pt>
                <c:pt idx="53">
                  <c:v>149</c:v>
                </c:pt>
                <c:pt idx="54">
                  <c:v>152</c:v>
                </c:pt>
                <c:pt idx="55">
                  <c:v>154</c:v>
                </c:pt>
                <c:pt idx="56">
                  <c:v>167</c:v>
                </c:pt>
                <c:pt idx="57">
                  <c:v>174</c:v>
                </c:pt>
                <c:pt idx="58">
                  <c:v>181</c:v>
                </c:pt>
                <c:pt idx="59">
                  <c:v>187</c:v>
                </c:pt>
                <c:pt idx="60">
                  <c:v>190</c:v>
                </c:pt>
                <c:pt idx="61">
                  <c:v>195</c:v>
                </c:pt>
                <c:pt idx="62">
                  <c:v>196</c:v>
                </c:pt>
                <c:pt idx="63">
                  <c:v>197</c:v>
                </c:pt>
                <c:pt idx="64">
                  <c:v>198</c:v>
                </c:pt>
                <c:pt idx="65">
                  <c:v>199</c:v>
                </c:pt>
                <c:pt idx="66">
                  <c:v>200</c:v>
                </c:pt>
                <c:pt idx="67">
                  <c:v>201</c:v>
                </c:pt>
                <c:pt idx="68">
                  <c:v>202</c:v>
                </c:pt>
              </c:numCache>
            </c:numRef>
          </c:xVal>
          <c:yVal>
            <c:numRef>
              <c:f>'MLSS-MLVSS (S1)'!$AE$62:$AE$130</c:f>
              <c:numCache>
                <c:formatCode>_(* #,##0.00_);_(* \(#,##0.00\);_(* "-"??_);_(@_)</c:formatCode>
                <c:ptCount val="69"/>
                <c:pt idx="20">
                  <c:v>3.5000000000005373</c:v>
                </c:pt>
                <c:pt idx="21">
                  <c:v>2.8350515463917145</c:v>
                </c:pt>
                <c:pt idx="26">
                  <c:v>1.748502994012034</c:v>
                </c:pt>
                <c:pt idx="28">
                  <c:v>1.7313131313132153</c:v>
                </c:pt>
                <c:pt idx="29">
                  <c:v>1.6961770623741013</c:v>
                </c:pt>
                <c:pt idx="30">
                  <c:v>1.5945945945946376</c:v>
                </c:pt>
                <c:pt idx="31">
                  <c:v>1.5229357798164886</c:v>
                </c:pt>
                <c:pt idx="32">
                  <c:v>1.714285714284475</c:v>
                </c:pt>
                <c:pt idx="33">
                  <c:v>2.7000000000024689</c:v>
                </c:pt>
                <c:pt idx="34">
                  <c:v>2.7083333333332287</c:v>
                </c:pt>
                <c:pt idx="35">
                  <c:v>2.9705882352942115</c:v>
                </c:pt>
                <c:pt idx="36">
                  <c:v>2.8000000000002689</c:v>
                </c:pt>
                <c:pt idx="37">
                  <c:v>2.5750000000000597</c:v>
                </c:pt>
                <c:pt idx="38">
                  <c:v>3.0882352941183964</c:v>
                </c:pt>
                <c:pt idx="39">
                  <c:v>2.0555555555554856</c:v>
                </c:pt>
                <c:pt idx="40">
                  <c:v>1.7407407407406743</c:v>
                </c:pt>
                <c:pt idx="41">
                  <c:v>2.8581081081081829</c:v>
                </c:pt>
                <c:pt idx="44">
                  <c:v>2.1406249999999982</c:v>
                </c:pt>
                <c:pt idx="45">
                  <c:v>2.2280701754385119</c:v>
                </c:pt>
                <c:pt idx="46">
                  <c:v>1.763636363636373</c:v>
                </c:pt>
                <c:pt idx="47">
                  <c:v>1.659898477157338</c:v>
                </c:pt>
                <c:pt idx="48">
                  <c:v>1.5804878048780622</c:v>
                </c:pt>
                <c:pt idx="49">
                  <c:v>1.5666666666666083</c:v>
                </c:pt>
                <c:pt idx="51">
                  <c:v>1.432098765432108</c:v>
                </c:pt>
                <c:pt idx="54">
                  <c:v>1.6909871244634898</c:v>
                </c:pt>
                <c:pt idx="56">
                  <c:v>1.619330224671486</c:v>
                </c:pt>
                <c:pt idx="57">
                  <c:v>1.6266899258612917</c:v>
                </c:pt>
                <c:pt idx="58">
                  <c:v>1.6860127684271717</c:v>
                </c:pt>
                <c:pt idx="59">
                  <c:v>1.6496394230769271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20-45B9-BDFC-6259B5A42644}"/>
            </c:ext>
          </c:extLst>
        </c:ser>
        <c:ser>
          <c:idx val="3"/>
          <c:order val="3"/>
          <c:tx>
            <c:v>sugar added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200"/>
            <c:spPr>
              <a:noFill/>
              <a:ln w="15875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'MLSS-MLVSS (S1)'!$B$71</c:f>
              <c:numCache>
                <c:formatCode>0</c:formatCode>
                <c:ptCount val="1"/>
                <c:pt idx="0">
                  <c:v>16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420-45B9-BDFC-6259B5A42644}"/>
            </c:ext>
          </c:extLst>
        </c:ser>
        <c:ser>
          <c:idx val="4"/>
          <c:order val="4"/>
          <c:tx>
            <c:v>start mbr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200"/>
            <c:spPr>
              <a:noFill/>
              <a:ln w="15875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'MLSS-MLVSS (S1)'!$B$82</c:f>
              <c:numCache>
                <c:formatCode>0</c:formatCode>
                <c:ptCount val="1"/>
                <c:pt idx="0">
                  <c:v>42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420-45B9-BDFC-6259B5A42644}"/>
            </c:ext>
          </c:extLst>
        </c:ser>
        <c:ser>
          <c:idx val="5"/>
          <c:order val="5"/>
          <c:tx>
            <c:v>sludges leaked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2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68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420-45B9-BDFC-6259B5A42644}"/>
            </c:ext>
          </c:extLst>
        </c:ser>
        <c:ser>
          <c:idx val="6"/>
          <c:order val="6"/>
          <c:tx>
            <c:v>Sludges leaked 1/3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2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82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420-45B9-BDFC-6259B5A4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93920"/>
        <c:axId val="370895560"/>
      </c:scatterChart>
      <c:dateAx>
        <c:axId val="982918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3998919"/>
        <c:crosses val="autoZero"/>
        <c:auto val="0"/>
        <c:lblOffset val="100"/>
        <c:baseTimeUnit val="days"/>
        <c:majorUnit val="10"/>
        <c:majorTimeUnit val="days"/>
      </c:dateAx>
      <c:valAx>
        <c:axId val="1873998919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MBR reactor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2918072"/>
        <c:crosses val="autoZero"/>
        <c:crossBetween val="between"/>
        <c:majorUnit val="5"/>
      </c:valAx>
      <c:valAx>
        <c:axId val="370895560"/>
        <c:scaling>
          <c:orientation val="minMax"/>
          <c:max val="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MLSS/MLVSS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-* #,##0.0_-;\-* #,##0.0_-;_-* &quot;-&quot;?_-;_-@_-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0893920"/>
        <c:crosses val="max"/>
        <c:crossBetween val="midCat"/>
        <c:majorUnit val="0.5"/>
      </c:valAx>
      <c:valAx>
        <c:axId val="370893920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crossAx val="37089556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5953156974964221"/>
          <c:y val="5.6640930261636087E-2"/>
          <c:w val="0.11599583176472139"/>
          <c:h val="0.1826468883052603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4018518518519"/>
          <c:y val="4.8404840484048403E-2"/>
          <c:w val="0.77386092592592604"/>
          <c:h val="0.7898744444444444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'Biogas composition'!$K$1</c:f>
              <c:strCache>
                <c:ptCount val="1"/>
                <c:pt idx="0">
                  <c:v>Methane</c:v>
                </c:pt>
              </c:strCache>
            </c:strRef>
          </c:tx>
          <c:spPr>
            <a:solidFill>
              <a:srgbClr val="00B0F0"/>
            </a:solidFill>
            <a:ln w="25400" cap="rnd">
              <a:noFill/>
              <a:round/>
            </a:ln>
            <a:effectLst/>
          </c:spPr>
          <c:invertIfNegative val="0"/>
          <c:cat>
            <c:numRef>
              <c:f>'Biogas composition'!$B$38:$B$177</c:f>
              <c:numCache>
                <c:formatCode>0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150</c:v>
                </c:pt>
              </c:numCache>
            </c:numRef>
          </c:cat>
          <c:val>
            <c:numRef>
              <c:f>'Biogas composition'!$K$38:$K$177</c:f>
              <c:numCache>
                <c:formatCode>General</c:formatCode>
                <c:ptCount val="140"/>
                <c:pt idx="0">
                  <c:v>84.23</c:v>
                </c:pt>
                <c:pt idx="1">
                  <c:v>84.23</c:v>
                </c:pt>
                <c:pt idx="2">
                  <c:v>65.72</c:v>
                </c:pt>
                <c:pt idx="3">
                  <c:v>65.72</c:v>
                </c:pt>
                <c:pt idx="4">
                  <c:v>65.72</c:v>
                </c:pt>
                <c:pt idx="5">
                  <c:v>58.3</c:v>
                </c:pt>
                <c:pt idx="6">
                  <c:v>58.3</c:v>
                </c:pt>
                <c:pt idx="7">
                  <c:v>58.3</c:v>
                </c:pt>
                <c:pt idx="8">
                  <c:v>65.84</c:v>
                </c:pt>
                <c:pt idx="9">
                  <c:v>65.84</c:v>
                </c:pt>
                <c:pt idx="10">
                  <c:v>65.5</c:v>
                </c:pt>
                <c:pt idx="11">
                  <c:v>65.5</c:v>
                </c:pt>
                <c:pt idx="12">
                  <c:v>68.14</c:v>
                </c:pt>
                <c:pt idx="13">
                  <c:v>68.14</c:v>
                </c:pt>
                <c:pt idx="14">
                  <c:v>58.79</c:v>
                </c:pt>
                <c:pt idx="15">
                  <c:v>58.79</c:v>
                </c:pt>
                <c:pt idx="16">
                  <c:v>40.659999999999997</c:v>
                </c:pt>
                <c:pt idx="17">
                  <c:v>40.659999999999997</c:v>
                </c:pt>
                <c:pt idx="18">
                  <c:v>40.659999999999997</c:v>
                </c:pt>
                <c:pt idx="19">
                  <c:v>43.86</c:v>
                </c:pt>
                <c:pt idx="20">
                  <c:v>43.86</c:v>
                </c:pt>
                <c:pt idx="21">
                  <c:v>38.450000000000003</c:v>
                </c:pt>
                <c:pt idx="22">
                  <c:v>43.65</c:v>
                </c:pt>
                <c:pt idx="23">
                  <c:v>50.89</c:v>
                </c:pt>
                <c:pt idx="24">
                  <c:v>50.89</c:v>
                </c:pt>
                <c:pt idx="25">
                  <c:v>50.89</c:v>
                </c:pt>
                <c:pt idx="26">
                  <c:v>50.89</c:v>
                </c:pt>
                <c:pt idx="27">
                  <c:v>50.89</c:v>
                </c:pt>
                <c:pt idx="28">
                  <c:v>50.89</c:v>
                </c:pt>
                <c:pt idx="30">
                  <c:v>47.61</c:v>
                </c:pt>
                <c:pt idx="31">
                  <c:v>47.61</c:v>
                </c:pt>
                <c:pt idx="32">
                  <c:v>47.61</c:v>
                </c:pt>
                <c:pt idx="33">
                  <c:v>42.28</c:v>
                </c:pt>
                <c:pt idx="34">
                  <c:v>42.28</c:v>
                </c:pt>
                <c:pt idx="35">
                  <c:v>46.49</c:v>
                </c:pt>
                <c:pt idx="36">
                  <c:v>34.19</c:v>
                </c:pt>
                <c:pt idx="37">
                  <c:v>34.19</c:v>
                </c:pt>
                <c:pt idx="38">
                  <c:v>34.19</c:v>
                </c:pt>
                <c:pt idx="39">
                  <c:v>34.19</c:v>
                </c:pt>
                <c:pt idx="40">
                  <c:v>51.95</c:v>
                </c:pt>
                <c:pt idx="41">
                  <c:v>51.95</c:v>
                </c:pt>
                <c:pt idx="44">
                  <c:v>70.05</c:v>
                </c:pt>
                <c:pt idx="45">
                  <c:v>70.05</c:v>
                </c:pt>
                <c:pt idx="46">
                  <c:v>70.05</c:v>
                </c:pt>
                <c:pt idx="47">
                  <c:v>70.05</c:v>
                </c:pt>
                <c:pt idx="48">
                  <c:v>70.05</c:v>
                </c:pt>
                <c:pt idx="49">
                  <c:v>70.05</c:v>
                </c:pt>
                <c:pt idx="50">
                  <c:v>57.76</c:v>
                </c:pt>
                <c:pt idx="51">
                  <c:v>47.52</c:v>
                </c:pt>
                <c:pt idx="52">
                  <c:v>47.52</c:v>
                </c:pt>
                <c:pt idx="53">
                  <c:v>47.52</c:v>
                </c:pt>
                <c:pt idx="54">
                  <c:v>47.52</c:v>
                </c:pt>
                <c:pt idx="55">
                  <c:v>47.52</c:v>
                </c:pt>
                <c:pt idx="56">
                  <c:v>47.52</c:v>
                </c:pt>
                <c:pt idx="58">
                  <c:v>48.3</c:v>
                </c:pt>
                <c:pt idx="59">
                  <c:v>48.3</c:v>
                </c:pt>
                <c:pt idx="60">
                  <c:v>48.3</c:v>
                </c:pt>
                <c:pt idx="61">
                  <c:v>48.3</c:v>
                </c:pt>
                <c:pt idx="62">
                  <c:v>48.3</c:v>
                </c:pt>
                <c:pt idx="63">
                  <c:v>48.3</c:v>
                </c:pt>
                <c:pt idx="65">
                  <c:v>37.75</c:v>
                </c:pt>
                <c:pt idx="66">
                  <c:v>37.75</c:v>
                </c:pt>
                <c:pt idx="67">
                  <c:v>37.75</c:v>
                </c:pt>
                <c:pt idx="68">
                  <c:v>37.75</c:v>
                </c:pt>
                <c:pt idx="72">
                  <c:v>47.54</c:v>
                </c:pt>
                <c:pt idx="73">
                  <c:v>47.54</c:v>
                </c:pt>
                <c:pt idx="74">
                  <c:v>47.54</c:v>
                </c:pt>
                <c:pt idx="75">
                  <c:v>47.54</c:v>
                </c:pt>
                <c:pt idx="76">
                  <c:v>51.34</c:v>
                </c:pt>
                <c:pt idx="77">
                  <c:v>51.34</c:v>
                </c:pt>
                <c:pt idx="78">
                  <c:v>51.34</c:v>
                </c:pt>
                <c:pt idx="79">
                  <c:v>52.91</c:v>
                </c:pt>
                <c:pt idx="80">
                  <c:v>52.91</c:v>
                </c:pt>
                <c:pt idx="81">
                  <c:v>52.91</c:v>
                </c:pt>
                <c:pt idx="82">
                  <c:v>52.91</c:v>
                </c:pt>
                <c:pt idx="83">
                  <c:v>52.91</c:v>
                </c:pt>
                <c:pt idx="84">
                  <c:v>52.91</c:v>
                </c:pt>
                <c:pt idx="85">
                  <c:v>52.91</c:v>
                </c:pt>
                <c:pt idx="86">
                  <c:v>52.91</c:v>
                </c:pt>
                <c:pt idx="87">
                  <c:v>52.91</c:v>
                </c:pt>
                <c:pt idx="88">
                  <c:v>52.91</c:v>
                </c:pt>
                <c:pt idx="89">
                  <c:v>52.91</c:v>
                </c:pt>
                <c:pt idx="90">
                  <c:v>52.91</c:v>
                </c:pt>
                <c:pt idx="91">
                  <c:v>52.91</c:v>
                </c:pt>
                <c:pt idx="92">
                  <c:v>52.91</c:v>
                </c:pt>
                <c:pt idx="93">
                  <c:v>52.91</c:v>
                </c:pt>
                <c:pt idx="94">
                  <c:v>52.91</c:v>
                </c:pt>
                <c:pt idx="95">
                  <c:v>52.91</c:v>
                </c:pt>
                <c:pt idx="96">
                  <c:v>34.39</c:v>
                </c:pt>
                <c:pt idx="97">
                  <c:v>34.39</c:v>
                </c:pt>
                <c:pt idx="98">
                  <c:v>24.65</c:v>
                </c:pt>
                <c:pt idx="99">
                  <c:v>55.59</c:v>
                </c:pt>
                <c:pt idx="100">
                  <c:v>87.27</c:v>
                </c:pt>
                <c:pt idx="101">
                  <c:v>87.27</c:v>
                </c:pt>
                <c:pt idx="102">
                  <c:v>87.27</c:v>
                </c:pt>
                <c:pt idx="103">
                  <c:v>88.87</c:v>
                </c:pt>
                <c:pt idx="104">
                  <c:v>88.87</c:v>
                </c:pt>
                <c:pt idx="105">
                  <c:v>88.87</c:v>
                </c:pt>
                <c:pt idx="106">
                  <c:v>88.87</c:v>
                </c:pt>
                <c:pt idx="110">
                  <c:v>76.709999999999994</c:v>
                </c:pt>
                <c:pt idx="111">
                  <c:v>76.709999999999994</c:v>
                </c:pt>
                <c:pt idx="112">
                  <c:v>76.709999999999994</c:v>
                </c:pt>
                <c:pt idx="113">
                  <c:v>76.709999999999994</c:v>
                </c:pt>
                <c:pt idx="114">
                  <c:v>76.709999999999994</c:v>
                </c:pt>
                <c:pt idx="115">
                  <c:v>76.709999999999994</c:v>
                </c:pt>
                <c:pt idx="116">
                  <c:v>76.709999999999994</c:v>
                </c:pt>
                <c:pt idx="117">
                  <c:v>76.709999999999994</c:v>
                </c:pt>
                <c:pt idx="118">
                  <c:v>87.45</c:v>
                </c:pt>
                <c:pt idx="119">
                  <c:v>87.45</c:v>
                </c:pt>
                <c:pt idx="120">
                  <c:v>87.45</c:v>
                </c:pt>
                <c:pt idx="121">
                  <c:v>87.45</c:v>
                </c:pt>
                <c:pt idx="122">
                  <c:v>87.45</c:v>
                </c:pt>
                <c:pt idx="123">
                  <c:v>87.45</c:v>
                </c:pt>
                <c:pt idx="124">
                  <c:v>87.45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C-4223-85A2-C0D725E6AC5C}"/>
            </c:ext>
          </c:extLst>
        </c:ser>
        <c:ser>
          <c:idx val="2"/>
          <c:order val="1"/>
          <c:tx>
            <c:strRef>
              <c:f>'Biogas composition'!$L$1</c:f>
              <c:strCache>
                <c:ptCount val="1"/>
                <c:pt idx="0">
                  <c:v>Oxygen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'Biogas composition'!$B$38:$B$177</c:f>
              <c:numCache>
                <c:formatCode>0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150</c:v>
                </c:pt>
              </c:numCache>
            </c:numRef>
          </c:cat>
          <c:val>
            <c:numRef>
              <c:f>'Biogas composition'!$L$38:$L$177</c:f>
              <c:numCache>
                <c:formatCode>General</c:formatCode>
                <c:ptCount val="140"/>
                <c:pt idx="0">
                  <c:v>2.99</c:v>
                </c:pt>
                <c:pt idx="1">
                  <c:v>2.99</c:v>
                </c:pt>
                <c:pt idx="2">
                  <c:v>7.27</c:v>
                </c:pt>
                <c:pt idx="3">
                  <c:v>7.27</c:v>
                </c:pt>
                <c:pt idx="4">
                  <c:v>7.27</c:v>
                </c:pt>
                <c:pt idx="5">
                  <c:v>8.67</c:v>
                </c:pt>
                <c:pt idx="6">
                  <c:v>8.67</c:v>
                </c:pt>
                <c:pt idx="7">
                  <c:v>8.67</c:v>
                </c:pt>
                <c:pt idx="8">
                  <c:v>6.64</c:v>
                </c:pt>
                <c:pt idx="9">
                  <c:v>6.64</c:v>
                </c:pt>
                <c:pt idx="10">
                  <c:v>7.11</c:v>
                </c:pt>
                <c:pt idx="11">
                  <c:v>7.11</c:v>
                </c:pt>
                <c:pt idx="12">
                  <c:v>6.64</c:v>
                </c:pt>
                <c:pt idx="13">
                  <c:v>6.64</c:v>
                </c:pt>
                <c:pt idx="14">
                  <c:v>8.9499999999999993</c:v>
                </c:pt>
                <c:pt idx="15">
                  <c:v>8.9499999999999993</c:v>
                </c:pt>
                <c:pt idx="16">
                  <c:v>12.45</c:v>
                </c:pt>
                <c:pt idx="17">
                  <c:v>12.45</c:v>
                </c:pt>
                <c:pt idx="18">
                  <c:v>12.45</c:v>
                </c:pt>
                <c:pt idx="19">
                  <c:v>11.24</c:v>
                </c:pt>
                <c:pt idx="20">
                  <c:v>11.24</c:v>
                </c:pt>
                <c:pt idx="21">
                  <c:v>13.25</c:v>
                </c:pt>
                <c:pt idx="22">
                  <c:v>11.72</c:v>
                </c:pt>
                <c:pt idx="23">
                  <c:v>10.46</c:v>
                </c:pt>
                <c:pt idx="24">
                  <c:v>10.46</c:v>
                </c:pt>
                <c:pt idx="25">
                  <c:v>10.46</c:v>
                </c:pt>
                <c:pt idx="26">
                  <c:v>10.46</c:v>
                </c:pt>
                <c:pt idx="27">
                  <c:v>10.46</c:v>
                </c:pt>
                <c:pt idx="28">
                  <c:v>10.46</c:v>
                </c:pt>
                <c:pt idx="30">
                  <c:v>10.73</c:v>
                </c:pt>
                <c:pt idx="31">
                  <c:v>10.73</c:v>
                </c:pt>
                <c:pt idx="32">
                  <c:v>10.73</c:v>
                </c:pt>
                <c:pt idx="33">
                  <c:v>12.17</c:v>
                </c:pt>
                <c:pt idx="34">
                  <c:v>12.17</c:v>
                </c:pt>
                <c:pt idx="35">
                  <c:v>11.59</c:v>
                </c:pt>
                <c:pt idx="36">
                  <c:v>14.63</c:v>
                </c:pt>
                <c:pt idx="37">
                  <c:v>14.63</c:v>
                </c:pt>
                <c:pt idx="38">
                  <c:v>14.63</c:v>
                </c:pt>
                <c:pt idx="39">
                  <c:v>14.63</c:v>
                </c:pt>
                <c:pt idx="40">
                  <c:v>9.68</c:v>
                </c:pt>
                <c:pt idx="41">
                  <c:v>9.68</c:v>
                </c:pt>
                <c:pt idx="44">
                  <c:v>4.49</c:v>
                </c:pt>
                <c:pt idx="45">
                  <c:v>4.49</c:v>
                </c:pt>
                <c:pt idx="46">
                  <c:v>4.49</c:v>
                </c:pt>
                <c:pt idx="47">
                  <c:v>4.49</c:v>
                </c:pt>
                <c:pt idx="48">
                  <c:v>4.49</c:v>
                </c:pt>
                <c:pt idx="49">
                  <c:v>4.49</c:v>
                </c:pt>
                <c:pt idx="50">
                  <c:v>6.05</c:v>
                </c:pt>
                <c:pt idx="51">
                  <c:v>8.68</c:v>
                </c:pt>
                <c:pt idx="52">
                  <c:v>8.68</c:v>
                </c:pt>
                <c:pt idx="53">
                  <c:v>8.68</c:v>
                </c:pt>
                <c:pt idx="54">
                  <c:v>8.68</c:v>
                </c:pt>
                <c:pt idx="55">
                  <c:v>8.68</c:v>
                </c:pt>
                <c:pt idx="56">
                  <c:v>8.68</c:v>
                </c:pt>
                <c:pt idx="58">
                  <c:v>7.99</c:v>
                </c:pt>
                <c:pt idx="59">
                  <c:v>7.99</c:v>
                </c:pt>
                <c:pt idx="60">
                  <c:v>7.99</c:v>
                </c:pt>
                <c:pt idx="61">
                  <c:v>7.99</c:v>
                </c:pt>
                <c:pt idx="62">
                  <c:v>7.99</c:v>
                </c:pt>
                <c:pt idx="63">
                  <c:v>7.99</c:v>
                </c:pt>
                <c:pt idx="65">
                  <c:v>12.37</c:v>
                </c:pt>
                <c:pt idx="66">
                  <c:v>12.37</c:v>
                </c:pt>
                <c:pt idx="67">
                  <c:v>12.37</c:v>
                </c:pt>
                <c:pt idx="68">
                  <c:v>12.37</c:v>
                </c:pt>
                <c:pt idx="72">
                  <c:v>9.2100000000000009</c:v>
                </c:pt>
                <c:pt idx="73">
                  <c:v>9.2100000000000009</c:v>
                </c:pt>
                <c:pt idx="74">
                  <c:v>9.2100000000000009</c:v>
                </c:pt>
                <c:pt idx="75">
                  <c:v>9.2100000000000009</c:v>
                </c:pt>
                <c:pt idx="76">
                  <c:v>8.9</c:v>
                </c:pt>
                <c:pt idx="77">
                  <c:v>8.9</c:v>
                </c:pt>
                <c:pt idx="78">
                  <c:v>8.9</c:v>
                </c:pt>
                <c:pt idx="79">
                  <c:v>8.01</c:v>
                </c:pt>
                <c:pt idx="80">
                  <c:v>8.01</c:v>
                </c:pt>
                <c:pt idx="81">
                  <c:v>8.01</c:v>
                </c:pt>
                <c:pt idx="82">
                  <c:v>8.01</c:v>
                </c:pt>
                <c:pt idx="83">
                  <c:v>8.01</c:v>
                </c:pt>
                <c:pt idx="84">
                  <c:v>8.01</c:v>
                </c:pt>
                <c:pt idx="85">
                  <c:v>8.01</c:v>
                </c:pt>
                <c:pt idx="86">
                  <c:v>8.01</c:v>
                </c:pt>
                <c:pt idx="87">
                  <c:v>8.01</c:v>
                </c:pt>
                <c:pt idx="88">
                  <c:v>8.01</c:v>
                </c:pt>
                <c:pt idx="89">
                  <c:v>8.01</c:v>
                </c:pt>
                <c:pt idx="90">
                  <c:v>8.01</c:v>
                </c:pt>
                <c:pt idx="91">
                  <c:v>8.01</c:v>
                </c:pt>
                <c:pt idx="92">
                  <c:v>8.01</c:v>
                </c:pt>
                <c:pt idx="93">
                  <c:v>8.01</c:v>
                </c:pt>
                <c:pt idx="94">
                  <c:v>8.01</c:v>
                </c:pt>
                <c:pt idx="95">
                  <c:v>8.01</c:v>
                </c:pt>
                <c:pt idx="96">
                  <c:v>12.96</c:v>
                </c:pt>
                <c:pt idx="97">
                  <c:v>12.96</c:v>
                </c:pt>
                <c:pt idx="98">
                  <c:v>16.21</c:v>
                </c:pt>
                <c:pt idx="99">
                  <c:v>8.6999999999999993</c:v>
                </c:pt>
                <c:pt idx="100">
                  <c:v>2.17</c:v>
                </c:pt>
                <c:pt idx="101">
                  <c:v>2.17</c:v>
                </c:pt>
                <c:pt idx="102">
                  <c:v>2.17</c:v>
                </c:pt>
                <c:pt idx="103">
                  <c:v>1.81</c:v>
                </c:pt>
                <c:pt idx="104">
                  <c:v>1.81</c:v>
                </c:pt>
                <c:pt idx="105">
                  <c:v>1.81</c:v>
                </c:pt>
                <c:pt idx="106">
                  <c:v>1.81</c:v>
                </c:pt>
                <c:pt idx="110">
                  <c:v>5.54</c:v>
                </c:pt>
                <c:pt idx="111">
                  <c:v>5.54</c:v>
                </c:pt>
                <c:pt idx="112">
                  <c:v>5.54</c:v>
                </c:pt>
                <c:pt idx="113">
                  <c:v>5.54</c:v>
                </c:pt>
                <c:pt idx="114">
                  <c:v>5.54</c:v>
                </c:pt>
                <c:pt idx="115">
                  <c:v>5.54</c:v>
                </c:pt>
                <c:pt idx="116">
                  <c:v>5.54</c:v>
                </c:pt>
                <c:pt idx="117">
                  <c:v>5.54</c:v>
                </c:pt>
                <c:pt idx="118">
                  <c:v>2.4500000000000002</c:v>
                </c:pt>
                <c:pt idx="119">
                  <c:v>2.4500000000000002</c:v>
                </c:pt>
                <c:pt idx="120">
                  <c:v>2.4500000000000002</c:v>
                </c:pt>
                <c:pt idx="121">
                  <c:v>2.4500000000000002</c:v>
                </c:pt>
                <c:pt idx="122">
                  <c:v>2.4500000000000002</c:v>
                </c:pt>
                <c:pt idx="123">
                  <c:v>2.4500000000000002</c:v>
                </c:pt>
                <c:pt idx="12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EC-4223-85A2-C0D725E6AC5C}"/>
            </c:ext>
          </c:extLst>
        </c:ser>
        <c:ser>
          <c:idx val="3"/>
          <c:order val="2"/>
          <c:tx>
            <c:strRef>
              <c:f>'Biogas composition'!$M$1</c:f>
              <c:strCache>
                <c:ptCount val="1"/>
                <c:pt idx="0">
                  <c:v>Nitrogen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'Biogas composition'!$B$38:$B$177</c:f>
              <c:numCache>
                <c:formatCode>0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150</c:v>
                </c:pt>
              </c:numCache>
            </c:numRef>
          </c:cat>
          <c:val>
            <c:numRef>
              <c:f>'Biogas composition'!$M$38:$M$177</c:f>
              <c:numCache>
                <c:formatCode>General</c:formatCode>
                <c:ptCount val="140"/>
                <c:pt idx="0">
                  <c:v>12</c:v>
                </c:pt>
                <c:pt idx="1">
                  <c:v>12</c:v>
                </c:pt>
                <c:pt idx="2">
                  <c:v>27.01</c:v>
                </c:pt>
                <c:pt idx="3">
                  <c:v>27.01</c:v>
                </c:pt>
                <c:pt idx="4">
                  <c:v>27.01</c:v>
                </c:pt>
                <c:pt idx="5">
                  <c:v>33.03</c:v>
                </c:pt>
                <c:pt idx="6">
                  <c:v>33.03</c:v>
                </c:pt>
                <c:pt idx="7">
                  <c:v>33.03</c:v>
                </c:pt>
                <c:pt idx="8">
                  <c:v>27.52</c:v>
                </c:pt>
                <c:pt idx="9">
                  <c:v>27.52</c:v>
                </c:pt>
                <c:pt idx="10">
                  <c:v>27.4</c:v>
                </c:pt>
                <c:pt idx="11">
                  <c:v>27.4</c:v>
                </c:pt>
                <c:pt idx="12">
                  <c:v>25.22</c:v>
                </c:pt>
                <c:pt idx="13">
                  <c:v>25.22</c:v>
                </c:pt>
                <c:pt idx="14">
                  <c:v>32.26</c:v>
                </c:pt>
                <c:pt idx="15">
                  <c:v>32.26</c:v>
                </c:pt>
                <c:pt idx="16">
                  <c:v>46.89</c:v>
                </c:pt>
                <c:pt idx="17">
                  <c:v>46.89</c:v>
                </c:pt>
                <c:pt idx="18">
                  <c:v>46.89</c:v>
                </c:pt>
                <c:pt idx="19">
                  <c:v>44.91</c:v>
                </c:pt>
                <c:pt idx="20">
                  <c:v>44.91</c:v>
                </c:pt>
                <c:pt idx="21">
                  <c:v>48.3</c:v>
                </c:pt>
                <c:pt idx="22">
                  <c:v>44.63</c:v>
                </c:pt>
                <c:pt idx="23">
                  <c:v>38.64</c:v>
                </c:pt>
                <c:pt idx="24">
                  <c:v>38.64</c:v>
                </c:pt>
                <c:pt idx="25">
                  <c:v>38.64</c:v>
                </c:pt>
                <c:pt idx="26">
                  <c:v>38.64</c:v>
                </c:pt>
                <c:pt idx="27">
                  <c:v>38.64</c:v>
                </c:pt>
                <c:pt idx="28">
                  <c:v>38.64</c:v>
                </c:pt>
                <c:pt idx="30">
                  <c:v>41.66</c:v>
                </c:pt>
                <c:pt idx="31">
                  <c:v>41.66</c:v>
                </c:pt>
                <c:pt idx="32">
                  <c:v>41.66</c:v>
                </c:pt>
                <c:pt idx="33">
                  <c:v>45.55</c:v>
                </c:pt>
                <c:pt idx="34">
                  <c:v>45.55</c:v>
                </c:pt>
                <c:pt idx="35">
                  <c:v>41.92</c:v>
                </c:pt>
                <c:pt idx="36">
                  <c:v>51.18</c:v>
                </c:pt>
                <c:pt idx="37">
                  <c:v>51.18</c:v>
                </c:pt>
                <c:pt idx="38">
                  <c:v>51.18</c:v>
                </c:pt>
                <c:pt idx="39">
                  <c:v>51.18</c:v>
                </c:pt>
                <c:pt idx="40">
                  <c:v>38.369999999999997</c:v>
                </c:pt>
                <c:pt idx="41">
                  <c:v>38.369999999999997</c:v>
                </c:pt>
                <c:pt idx="44">
                  <c:v>25.45</c:v>
                </c:pt>
                <c:pt idx="45">
                  <c:v>25.45</c:v>
                </c:pt>
                <c:pt idx="46">
                  <c:v>25.45</c:v>
                </c:pt>
                <c:pt idx="47">
                  <c:v>25.45</c:v>
                </c:pt>
                <c:pt idx="48">
                  <c:v>25.45</c:v>
                </c:pt>
                <c:pt idx="49">
                  <c:v>25.45</c:v>
                </c:pt>
                <c:pt idx="50">
                  <c:v>36.19</c:v>
                </c:pt>
                <c:pt idx="51">
                  <c:v>43.79</c:v>
                </c:pt>
                <c:pt idx="52">
                  <c:v>43.79</c:v>
                </c:pt>
                <c:pt idx="53">
                  <c:v>43.79</c:v>
                </c:pt>
                <c:pt idx="54">
                  <c:v>43.79</c:v>
                </c:pt>
                <c:pt idx="55">
                  <c:v>43.79</c:v>
                </c:pt>
                <c:pt idx="56">
                  <c:v>43.79</c:v>
                </c:pt>
                <c:pt idx="58">
                  <c:v>43.71</c:v>
                </c:pt>
                <c:pt idx="59">
                  <c:v>43.71</c:v>
                </c:pt>
                <c:pt idx="60">
                  <c:v>43.71</c:v>
                </c:pt>
                <c:pt idx="61">
                  <c:v>43.71</c:v>
                </c:pt>
                <c:pt idx="62">
                  <c:v>43.71</c:v>
                </c:pt>
                <c:pt idx="63">
                  <c:v>43.71</c:v>
                </c:pt>
                <c:pt idx="65">
                  <c:v>49.89</c:v>
                </c:pt>
                <c:pt idx="66">
                  <c:v>49.89</c:v>
                </c:pt>
                <c:pt idx="67">
                  <c:v>49.89</c:v>
                </c:pt>
                <c:pt idx="68">
                  <c:v>49.89</c:v>
                </c:pt>
                <c:pt idx="72">
                  <c:v>43.25</c:v>
                </c:pt>
                <c:pt idx="73">
                  <c:v>43.25</c:v>
                </c:pt>
                <c:pt idx="74">
                  <c:v>43.25</c:v>
                </c:pt>
                <c:pt idx="75">
                  <c:v>43.25</c:v>
                </c:pt>
                <c:pt idx="76">
                  <c:v>39.76</c:v>
                </c:pt>
                <c:pt idx="77">
                  <c:v>39.76</c:v>
                </c:pt>
                <c:pt idx="78">
                  <c:v>39.76</c:v>
                </c:pt>
                <c:pt idx="79">
                  <c:v>39.08</c:v>
                </c:pt>
                <c:pt idx="80">
                  <c:v>39.08</c:v>
                </c:pt>
                <c:pt idx="81">
                  <c:v>39.08</c:v>
                </c:pt>
                <c:pt idx="82">
                  <c:v>39.08</c:v>
                </c:pt>
                <c:pt idx="83">
                  <c:v>39.08</c:v>
                </c:pt>
                <c:pt idx="84">
                  <c:v>39.08</c:v>
                </c:pt>
                <c:pt idx="85">
                  <c:v>39.08</c:v>
                </c:pt>
                <c:pt idx="86">
                  <c:v>39.08</c:v>
                </c:pt>
                <c:pt idx="87">
                  <c:v>39.08</c:v>
                </c:pt>
                <c:pt idx="88">
                  <c:v>39.08</c:v>
                </c:pt>
                <c:pt idx="89">
                  <c:v>39.08</c:v>
                </c:pt>
                <c:pt idx="90">
                  <c:v>39.08</c:v>
                </c:pt>
                <c:pt idx="91">
                  <c:v>39.08</c:v>
                </c:pt>
                <c:pt idx="92">
                  <c:v>39.08</c:v>
                </c:pt>
                <c:pt idx="93">
                  <c:v>39.08</c:v>
                </c:pt>
                <c:pt idx="94">
                  <c:v>39.08</c:v>
                </c:pt>
                <c:pt idx="95">
                  <c:v>39.08</c:v>
                </c:pt>
                <c:pt idx="96">
                  <c:v>52.65</c:v>
                </c:pt>
                <c:pt idx="97">
                  <c:v>52.65</c:v>
                </c:pt>
                <c:pt idx="98">
                  <c:v>59.14</c:v>
                </c:pt>
                <c:pt idx="99">
                  <c:v>35.71</c:v>
                </c:pt>
                <c:pt idx="100">
                  <c:v>9.4</c:v>
                </c:pt>
                <c:pt idx="101">
                  <c:v>9.4</c:v>
                </c:pt>
                <c:pt idx="102">
                  <c:v>9.4</c:v>
                </c:pt>
                <c:pt idx="103">
                  <c:v>8.09</c:v>
                </c:pt>
                <c:pt idx="104">
                  <c:v>8.09</c:v>
                </c:pt>
                <c:pt idx="105">
                  <c:v>8.09</c:v>
                </c:pt>
                <c:pt idx="106">
                  <c:v>8.09</c:v>
                </c:pt>
                <c:pt idx="110">
                  <c:v>17.739999999999998</c:v>
                </c:pt>
                <c:pt idx="111">
                  <c:v>17.739999999999998</c:v>
                </c:pt>
                <c:pt idx="112">
                  <c:v>17.739999999999998</c:v>
                </c:pt>
                <c:pt idx="113">
                  <c:v>17.739999999999998</c:v>
                </c:pt>
                <c:pt idx="114">
                  <c:v>17.739999999999998</c:v>
                </c:pt>
                <c:pt idx="115">
                  <c:v>17.739999999999998</c:v>
                </c:pt>
                <c:pt idx="116">
                  <c:v>17.739999999999998</c:v>
                </c:pt>
                <c:pt idx="117">
                  <c:v>17.739999999999998</c:v>
                </c:pt>
                <c:pt idx="118">
                  <c:v>10.1</c:v>
                </c:pt>
                <c:pt idx="119">
                  <c:v>10.1</c:v>
                </c:pt>
                <c:pt idx="120">
                  <c:v>10.1</c:v>
                </c:pt>
                <c:pt idx="121">
                  <c:v>10.1</c:v>
                </c:pt>
                <c:pt idx="122">
                  <c:v>10.1</c:v>
                </c:pt>
                <c:pt idx="123">
                  <c:v>10.1</c:v>
                </c:pt>
                <c:pt idx="124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EC-4223-85A2-C0D725E6AC5C}"/>
            </c:ext>
          </c:extLst>
        </c:ser>
        <c:ser>
          <c:idx val="0"/>
          <c:order val="3"/>
          <c:tx>
            <c:strRef>
              <c:f>'Biogas composition'!$I$1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'Biogas composition'!$B$38:$B$177</c:f>
              <c:numCache>
                <c:formatCode>0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150</c:v>
                </c:pt>
              </c:numCache>
            </c:numRef>
          </c:cat>
          <c:val>
            <c:numRef>
              <c:f>'Biogas composition'!$I$38:$I$177</c:f>
              <c:numCache>
                <c:formatCode>General</c:formatCode>
                <c:ptCount val="140"/>
                <c:pt idx="0">
                  <c:v>0.78</c:v>
                </c:pt>
                <c:pt idx="1">
                  <c:v>0.78</c:v>
                </c:pt>
                <c:pt idx="100">
                  <c:v>1.1599999999999999</c:v>
                </c:pt>
                <c:pt idx="101">
                  <c:v>1.1599999999999999</c:v>
                </c:pt>
                <c:pt idx="102">
                  <c:v>1.1599999999999999</c:v>
                </c:pt>
                <c:pt idx="103">
                  <c:v>1.23</c:v>
                </c:pt>
                <c:pt idx="104">
                  <c:v>1.23</c:v>
                </c:pt>
                <c:pt idx="105">
                  <c:v>1.23</c:v>
                </c:pt>
                <c:pt idx="106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EC-4223-85A2-C0D725E6A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82918072"/>
        <c:axId val="1873998919"/>
      </c:barChart>
      <c:dateAx>
        <c:axId val="982918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3998919"/>
        <c:crosses val="autoZero"/>
        <c:auto val="0"/>
        <c:lblOffset val="100"/>
        <c:baseTimeUnit val="days"/>
        <c:majorUnit val="10"/>
      </c:dateAx>
      <c:valAx>
        <c:axId val="18739989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i-FI" b="1"/>
                  <a:t>Proportion (%)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2918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3853108837954"/>
          <c:y val="0.56954034614794036"/>
          <c:w val="0.11522995249449056"/>
          <c:h val="0.2576883289203196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4018518518519"/>
          <c:y val="4.8404840484048403E-2"/>
          <c:w val="0.77386092592592604"/>
          <c:h val="0.789874444444444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'Biogas composition'!$F$1</c:f>
              <c:strCache>
                <c:ptCount val="1"/>
                <c:pt idx="0">
                  <c:v>Carbon dioxide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'Biogas composition'!$B$38:$B$177</c:f>
              <c:numCache>
                <c:formatCode>0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150</c:v>
                </c:pt>
              </c:numCache>
            </c:numRef>
          </c:cat>
          <c:val>
            <c:numRef>
              <c:f>'Biogas composition'!$F$38:$F$177</c:f>
              <c:numCache>
                <c:formatCode>General</c:formatCode>
                <c:ptCount val="140"/>
                <c:pt idx="0">
                  <c:v>59.58</c:v>
                </c:pt>
                <c:pt idx="1">
                  <c:v>59.58</c:v>
                </c:pt>
                <c:pt idx="2">
                  <c:v>81.39</c:v>
                </c:pt>
                <c:pt idx="3">
                  <c:v>81.39</c:v>
                </c:pt>
                <c:pt idx="4">
                  <c:v>81.39</c:v>
                </c:pt>
                <c:pt idx="5">
                  <c:v>89.52</c:v>
                </c:pt>
                <c:pt idx="6">
                  <c:v>89.52</c:v>
                </c:pt>
                <c:pt idx="7">
                  <c:v>89.52</c:v>
                </c:pt>
                <c:pt idx="8">
                  <c:v>85.5</c:v>
                </c:pt>
                <c:pt idx="9">
                  <c:v>85.5</c:v>
                </c:pt>
                <c:pt idx="10">
                  <c:v>85.83</c:v>
                </c:pt>
                <c:pt idx="11">
                  <c:v>85.83</c:v>
                </c:pt>
                <c:pt idx="12">
                  <c:v>86.05</c:v>
                </c:pt>
                <c:pt idx="13">
                  <c:v>86.05</c:v>
                </c:pt>
                <c:pt idx="14">
                  <c:v>88.22</c:v>
                </c:pt>
                <c:pt idx="15">
                  <c:v>88.22</c:v>
                </c:pt>
                <c:pt idx="16">
                  <c:v>92.4</c:v>
                </c:pt>
                <c:pt idx="17">
                  <c:v>92.4</c:v>
                </c:pt>
                <c:pt idx="18">
                  <c:v>92.4</c:v>
                </c:pt>
                <c:pt idx="19">
                  <c:v>92.53</c:v>
                </c:pt>
                <c:pt idx="20">
                  <c:v>92.53</c:v>
                </c:pt>
                <c:pt idx="21">
                  <c:v>92.51</c:v>
                </c:pt>
                <c:pt idx="22">
                  <c:v>91.62</c:v>
                </c:pt>
                <c:pt idx="23">
                  <c:v>89.71</c:v>
                </c:pt>
                <c:pt idx="24">
                  <c:v>89.71</c:v>
                </c:pt>
                <c:pt idx="25">
                  <c:v>89.71</c:v>
                </c:pt>
                <c:pt idx="26">
                  <c:v>89.71</c:v>
                </c:pt>
                <c:pt idx="27">
                  <c:v>89.71</c:v>
                </c:pt>
                <c:pt idx="28">
                  <c:v>89.71</c:v>
                </c:pt>
                <c:pt idx="30">
                  <c:v>91.77</c:v>
                </c:pt>
                <c:pt idx="31">
                  <c:v>91.77</c:v>
                </c:pt>
                <c:pt idx="32">
                  <c:v>91.77</c:v>
                </c:pt>
                <c:pt idx="33">
                  <c:v>93.03</c:v>
                </c:pt>
                <c:pt idx="34">
                  <c:v>93.03</c:v>
                </c:pt>
                <c:pt idx="35">
                  <c:v>92.27</c:v>
                </c:pt>
                <c:pt idx="36">
                  <c:v>93.63</c:v>
                </c:pt>
                <c:pt idx="37">
                  <c:v>93.63</c:v>
                </c:pt>
                <c:pt idx="38">
                  <c:v>93.63</c:v>
                </c:pt>
                <c:pt idx="39">
                  <c:v>93.63</c:v>
                </c:pt>
                <c:pt idx="40">
                  <c:v>90.87</c:v>
                </c:pt>
                <c:pt idx="41">
                  <c:v>90.87</c:v>
                </c:pt>
                <c:pt idx="44">
                  <c:v>84.18</c:v>
                </c:pt>
                <c:pt idx="45">
                  <c:v>84.18</c:v>
                </c:pt>
                <c:pt idx="46">
                  <c:v>84.18</c:v>
                </c:pt>
                <c:pt idx="47">
                  <c:v>84.18</c:v>
                </c:pt>
                <c:pt idx="48">
                  <c:v>84.18</c:v>
                </c:pt>
                <c:pt idx="49">
                  <c:v>84.18</c:v>
                </c:pt>
                <c:pt idx="50">
                  <c:v>86.52</c:v>
                </c:pt>
                <c:pt idx="51">
                  <c:v>88.09</c:v>
                </c:pt>
                <c:pt idx="52">
                  <c:v>88.09</c:v>
                </c:pt>
                <c:pt idx="53">
                  <c:v>88.09</c:v>
                </c:pt>
                <c:pt idx="54">
                  <c:v>88.09</c:v>
                </c:pt>
                <c:pt idx="55">
                  <c:v>88.09</c:v>
                </c:pt>
                <c:pt idx="56">
                  <c:v>88.09</c:v>
                </c:pt>
                <c:pt idx="58">
                  <c:v>88.72</c:v>
                </c:pt>
                <c:pt idx="59">
                  <c:v>88.72</c:v>
                </c:pt>
                <c:pt idx="60">
                  <c:v>88.72</c:v>
                </c:pt>
                <c:pt idx="61">
                  <c:v>88.72</c:v>
                </c:pt>
                <c:pt idx="62">
                  <c:v>88.72</c:v>
                </c:pt>
                <c:pt idx="63">
                  <c:v>88.72</c:v>
                </c:pt>
                <c:pt idx="65">
                  <c:v>91.14</c:v>
                </c:pt>
                <c:pt idx="66">
                  <c:v>91.14</c:v>
                </c:pt>
                <c:pt idx="67">
                  <c:v>91.14</c:v>
                </c:pt>
                <c:pt idx="68">
                  <c:v>91.14</c:v>
                </c:pt>
                <c:pt idx="72">
                  <c:v>89.09</c:v>
                </c:pt>
                <c:pt idx="73">
                  <c:v>89.09</c:v>
                </c:pt>
                <c:pt idx="74">
                  <c:v>89.09</c:v>
                </c:pt>
                <c:pt idx="75">
                  <c:v>89.09</c:v>
                </c:pt>
                <c:pt idx="76">
                  <c:v>90.29</c:v>
                </c:pt>
                <c:pt idx="77">
                  <c:v>90.29</c:v>
                </c:pt>
                <c:pt idx="78">
                  <c:v>90.29</c:v>
                </c:pt>
                <c:pt idx="79">
                  <c:v>89.08</c:v>
                </c:pt>
                <c:pt idx="80">
                  <c:v>89.08</c:v>
                </c:pt>
                <c:pt idx="81">
                  <c:v>89.08</c:v>
                </c:pt>
                <c:pt idx="82">
                  <c:v>89.08</c:v>
                </c:pt>
                <c:pt idx="83">
                  <c:v>89.08</c:v>
                </c:pt>
                <c:pt idx="84">
                  <c:v>89.08</c:v>
                </c:pt>
                <c:pt idx="85">
                  <c:v>89.08</c:v>
                </c:pt>
                <c:pt idx="86">
                  <c:v>89.08</c:v>
                </c:pt>
                <c:pt idx="87">
                  <c:v>89.08</c:v>
                </c:pt>
                <c:pt idx="88">
                  <c:v>89.08</c:v>
                </c:pt>
                <c:pt idx="89">
                  <c:v>89.08</c:v>
                </c:pt>
                <c:pt idx="90">
                  <c:v>89.08</c:v>
                </c:pt>
                <c:pt idx="91">
                  <c:v>89.08</c:v>
                </c:pt>
                <c:pt idx="92">
                  <c:v>89.08</c:v>
                </c:pt>
                <c:pt idx="93">
                  <c:v>89.08</c:v>
                </c:pt>
                <c:pt idx="94">
                  <c:v>89.08</c:v>
                </c:pt>
                <c:pt idx="95">
                  <c:v>89.08</c:v>
                </c:pt>
                <c:pt idx="96">
                  <c:v>91.62</c:v>
                </c:pt>
                <c:pt idx="97">
                  <c:v>91.62</c:v>
                </c:pt>
                <c:pt idx="98">
                  <c:v>93.78</c:v>
                </c:pt>
                <c:pt idx="99">
                  <c:v>82.75</c:v>
                </c:pt>
                <c:pt idx="100">
                  <c:v>60.39</c:v>
                </c:pt>
                <c:pt idx="101">
                  <c:v>60.39</c:v>
                </c:pt>
                <c:pt idx="102">
                  <c:v>60.39</c:v>
                </c:pt>
                <c:pt idx="103">
                  <c:v>59.96</c:v>
                </c:pt>
                <c:pt idx="104">
                  <c:v>59.96</c:v>
                </c:pt>
                <c:pt idx="105">
                  <c:v>59.96</c:v>
                </c:pt>
                <c:pt idx="106">
                  <c:v>59.96</c:v>
                </c:pt>
                <c:pt idx="110">
                  <c:v>70.05</c:v>
                </c:pt>
                <c:pt idx="111">
                  <c:v>70.05</c:v>
                </c:pt>
                <c:pt idx="112">
                  <c:v>70.05</c:v>
                </c:pt>
                <c:pt idx="113">
                  <c:v>70.05</c:v>
                </c:pt>
                <c:pt idx="114">
                  <c:v>70.05</c:v>
                </c:pt>
                <c:pt idx="115">
                  <c:v>70.05</c:v>
                </c:pt>
                <c:pt idx="116">
                  <c:v>70.05</c:v>
                </c:pt>
                <c:pt idx="117">
                  <c:v>70.05</c:v>
                </c:pt>
                <c:pt idx="118">
                  <c:v>75.459999999999994</c:v>
                </c:pt>
                <c:pt idx="119">
                  <c:v>75.459999999999994</c:v>
                </c:pt>
                <c:pt idx="120">
                  <c:v>75.459999999999994</c:v>
                </c:pt>
                <c:pt idx="121">
                  <c:v>75.459999999999994</c:v>
                </c:pt>
                <c:pt idx="122">
                  <c:v>75.459999999999994</c:v>
                </c:pt>
                <c:pt idx="123">
                  <c:v>75.459999999999994</c:v>
                </c:pt>
                <c:pt idx="124">
                  <c:v>75.459999999999994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6D-48ED-8AF1-4C9753774884}"/>
            </c:ext>
          </c:extLst>
        </c:ser>
        <c:ser>
          <c:idx val="1"/>
          <c:order val="1"/>
          <c:tx>
            <c:strRef>
              <c:f>'Biogas composition'!$C$1</c:f>
              <c:strCache>
                <c:ptCount val="1"/>
                <c:pt idx="0">
                  <c:v>Ethane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'Biogas composition'!$B$38:$B$177</c:f>
              <c:numCache>
                <c:formatCode>0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150</c:v>
                </c:pt>
              </c:numCache>
            </c:numRef>
          </c:cat>
          <c:val>
            <c:numRef>
              <c:f>'Biogas composition'!$C$38:$C$177</c:f>
              <c:numCache>
                <c:formatCode>General</c:formatCode>
                <c:ptCount val="140"/>
                <c:pt idx="0">
                  <c:v>38.130000000000003</c:v>
                </c:pt>
                <c:pt idx="1">
                  <c:v>38.130000000000003</c:v>
                </c:pt>
                <c:pt idx="2">
                  <c:v>16.05</c:v>
                </c:pt>
                <c:pt idx="3">
                  <c:v>16.05</c:v>
                </c:pt>
                <c:pt idx="4">
                  <c:v>16.05</c:v>
                </c:pt>
                <c:pt idx="5">
                  <c:v>8.07</c:v>
                </c:pt>
                <c:pt idx="6">
                  <c:v>8.07</c:v>
                </c:pt>
                <c:pt idx="7">
                  <c:v>8.07</c:v>
                </c:pt>
                <c:pt idx="8">
                  <c:v>11.83</c:v>
                </c:pt>
                <c:pt idx="9">
                  <c:v>11.83</c:v>
                </c:pt>
                <c:pt idx="10">
                  <c:v>10.82</c:v>
                </c:pt>
                <c:pt idx="11">
                  <c:v>10.82</c:v>
                </c:pt>
                <c:pt idx="12">
                  <c:v>10.210000000000001</c:v>
                </c:pt>
                <c:pt idx="13">
                  <c:v>10.210000000000001</c:v>
                </c:pt>
                <c:pt idx="14">
                  <c:v>8.76</c:v>
                </c:pt>
                <c:pt idx="15">
                  <c:v>8.76</c:v>
                </c:pt>
                <c:pt idx="16">
                  <c:v>4.71</c:v>
                </c:pt>
                <c:pt idx="17">
                  <c:v>4.71</c:v>
                </c:pt>
                <c:pt idx="18">
                  <c:v>4.71</c:v>
                </c:pt>
                <c:pt idx="19">
                  <c:v>4.53</c:v>
                </c:pt>
                <c:pt idx="20">
                  <c:v>4.53</c:v>
                </c:pt>
                <c:pt idx="21">
                  <c:v>3.61</c:v>
                </c:pt>
                <c:pt idx="22">
                  <c:v>4.22</c:v>
                </c:pt>
                <c:pt idx="23">
                  <c:v>5.41</c:v>
                </c:pt>
                <c:pt idx="24">
                  <c:v>5.41</c:v>
                </c:pt>
                <c:pt idx="25">
                  <c:v>5.41</c:v>
                </c:pt>
                <c:pt idx="26">
                  <c:v>5.41</c:v>
                </c:pt>
                <c:pt idx="27">
                  <c:v>5.41</c:v>
                </c:pt>
                <c:pt idx="28">
                  <c:v>5.41</c:v>
                </c:pt>
                <c:pt idx="30">
                  <c:v>5.0599999999999996</c:v>
                </c:pt>
                <c:pt idx="31">
                  <c:v>5.0599999999999996</c:v>
                </c:pt>
                <c:pt idx="32">
                  <c:v>5.0599999999999996</c:v>
                </c:pt>
                <c:pt idx="33">
                  <c:v>3.69</c:v>
                </c:pt>
                <c:pt idx="34">
                  <c:v>3.69</c:v>
                </c:pt>
                <c:pt idx="35">
                  <c:v>4.24</c:v>
                </c:pt>
                <c:pt idx="36">
                  <c:v>3.26</c:v>
                </c:pt>
                <c:pt idx="37">
                  <c:v>3.26</c:v>
                </c:pt>
                <c:pt idx="38">
                  <c:v>3.26</c:v>
                </c:pt>
                <c:pt idx="39">
                  <c:v>3.26</c:v>
                </c:pt>
                <c:pt idx="40">
                  <c:v>5.5</c:v>
                </c:pt>
                <c:pt idx="41">
                  <c:v>5.5</c:v>
                </c:pt>
                <c:pt idx="44">
                  <c:v>12.13</c:v>
                </c:pt>
                <c:pt idx="45">
                  <c:v>12.13</c:v>
                </c:pt>
                <c:pt idx="46">
                  <c:v>12.13</c:v>
                </c:pt>
                <c:pt idx="47">
                  <c:v>12.13</c:v>
                </c:pt>
                <c:pt idx="48">
                  <c:v>12.13</c:v>
                </c:pt>
                <c:pt idx="49">
                  <c:v>12.13</c:v>
                </c:pt>
                <c:pt idx="50">
                  <c:v>10.97</c:v>
                </c:pt>
                <c:pt idx="51">
                  <c:v>9.5500000000000007</c:v>
                </c:pt>
                <c:pt idx="52">
                  <c:v>9.5500000000000007</c:v>
                </c:pt>
                <c:pt idx="53">
                  <c:v>9.5500000000000007</c:v>
                </c:pt>
                <c:pt idx="54">
                  <c:v>9.5500000000000007</c:v>
                </c:pt>
                <c:pt idx="55">
                  <c:v>9.5500000000000007</c:v>
                </c:pt>
                <c:pt idx="56">
                  <c:v>9.5500000000000007</c:v>
                </c:pt>
                <c:pt idx="58">
                  <c:v>9.5299999999999994</c:v>
                </c:pt>
                <c:pt idx="59">
                  <c:v>9.5299999999999994</c:v>
                </c:pt>
                <c:pt idx="60">
                  <c:v>9.5299999999999994</c:v>
                </c:pt>
                <c:pt idx="61">
                  <c:v>9.5299999999999994</c:v>
                </c:pt>
                <c:pt idx="62">
                  <c:v>9.5299999999999994</c:v>
                </c:pt>
                <c:pt idx="63">
                  <c:v>9.5299999999999994</c:v>
                </c:pt>
                <c:pt idx="65">
                  <c:v>6.86</c:v>
                </c:pt>
                <c:pt idx="66">
                  <c:v>6.86</c:v>
                </c:pt>
                <c:pt idx="67">
                  <c:v>6.86</c:v>
                </c:pt>
                <c:pt idx="68">
                  <c:v>6.86</c:v>
                </c:pt>
                <c:pt idx="72">
                  <c:v>8.99</c:v>
                </c:pt>
                <c:pt idx="73">
                  <c:v>8.99</c:v>
                </c:pt>
                <c:pt idx="74">
                  <c:v>8.99</c:v>
                </c:pt>
                <c:pt idx="75">
                  <c:v>8.99</c:v>
                </c:pt>
                <c:pt idx="76">
                  <c:v>8.11</c:v>
                </c:pt>
                <c:pt idx="77">
                  <c:v>8.11</c:v>
                </c:pt>
                <c:pt idx="78">
                  <c:v>8.11</c:v>
                </c:pt>
                <c:pt idx="79">
                  <c:v>9.34</c:v>
                </c:pt>
                <c:pt idx="80">
                  <c:v>9.34</c:v>
                </c:pt>
                <c:pt idx="81">
                  <c:v>9.34</c:v>
                </c:pt>
                <c:pt idx="82">
                  <c:v>9.34</c:v>
                </c:pt>
                <c:pt idx="83">
                  <c:v>9.34</c:v>
                </c:pt>
                <c:pt idx="84">
                  <c:v>9.34</c:v>
                </c:pt>
                <c:pt idx="85">
                  <c:v>9.34</c:v>
                </c:pt>
                <c:pt idx="86">
                  <c:v>9.34</c:v>
                </c:pt>
                <c:pt idx="87">
                  <c:v>9.34</c:v>
                </c:pt>
                <c:pt idx="88">
                  <c:v>9.34</c:v>
                </c:pt>
                <c:pt idx="89">
                  <c:v>9.34</c:v>
                </c:pt>
                <c:pt idx="90">
                  <c:v>9.34</c:v>
                </c:pt>
                <c:pt idx="91">
                  <c:v>9.34</c:v>
                </c:pt>
                <c:pt idx="92">
                  <c:v>9.34</c:v>
                </c:pt>
                <c:pt idx="93">
                  <c:v>9.34</c:v>
                </c:pt>
                <c:pt idx="94">
                  <c:v>9.34</c:v>
                </c:pt>
                <c:pt idx="95">
                  <c:v>9.34</c:v>
                </c:pt>
                <c:pt idx="96">
                  <c:v>7.1</c:v>
                </c:pt>
                <c:pt idx="97">
                  <c:v>7.1</c:v>
                </c:pt>
                <c:pt idx="98">
                  <c:v>5.04</c:v>
                </c:pt>
                <c:pt idx="99">
                  <c:v>16.09</c:v>
                </c:pt>
                <c:pt idx="100">
                  <c:v>38.31</c:v>
                </c:pt>
                <c:pt idx="101">
                  <c:v>38.31</c:v>
                </c:pt>
                <c:pt idx="102">
                  <c:v>38.31</c:v>
                </c:pt>
                <c:pt idx="103">
                  <c:v>38.64</c:v>
                </c:pt>
                <c:pt idx="104">
                  <c:v>38.64</c:v>
                </c:pt>
                <c:pt idx="105">
                  <c:v>38.64</c:v>
                </c:pt>
                <c:pt idx="106">
                  <c:v>38.64</c:v>
                </c:pt>
                <c:pt idx="110">
                  <c:v>28.84</c:v>
                </c:pt>
                <c:pt idx="111">
                  <c:v>28.84</c:v>
                </c:pt>
                <c:pt idx="112">
                  <c:v>28.84</c:v>
                </c:pt>
                <c:pt idx="113">
                  <c:v>28.84</c:v>
                </c:pt>
                <c:pt idx="114">
                  <c:v>28.84</c:v>
                </c:pt>
                <c:pt idx="115">
                  <c:v>28.84</c:v>
                </c:pt>
                <c:pt idx="116">
                  <c:v>28.84</c:v>
                </c:pt>
                <c:pt idx="117">
                  <c:v>28.84</c:v>
                </c:pt>
                <c:pt idx="118">
                  <c:v>23.26</c:v>
                </c:pt>
                <c:pt idx="119">
                  <c:v>23.26</c:v>
                </c:pt>
                <c:pt idx="120">
                  <c:v>23.26</c:v>
                </c:pt>
                <c:pt idx="121">
                  <c:v>23.26</c:v>
                </c:pt>
                <c:pt idx="122">
                  <c:v>23.26</c:v>
                </c:pt>
                <c:pt idx="123">
                  <c:v>23.26</c:v>
                </c:pt>
                <c:pt idx="124">
                  <c:v>23.26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D-48ED-8AF1-4C9753774884}"/>
            </c:ext>
          </c:extLst>
        </c:ser>
        <c:ser>
          <c:idx val="2"/>
          <c:order val="2"/>
          <c:tx>
            <c:strRef>
              <c:f>'Biogas composition'!$D$1</c:f>
              <c:strCache>
                <c:ptCount val="1"/>
                <c:pt idx="0">
                  <c:v>Hydrogen sulfide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'Biogas composition'!$B$38:$B$177</c:f>
              <c:numCache>
                <c:formatCode>0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150</c:v>
                </c:pt>
              </c:numCache>
            </c:numRef>
          </c:cat>
          <c:val>
            <c:numRef>
              <c:f>'Biogas composition'!$D$38:$D$177</c:f>
              <c:numCache>
                <c:formatCode>General</c:formatCode>
                <c:ptCount val="140"/>
                <c:pt idx="0">
                  <c:v>0.77</c:v>
                </c:pt>
                <c:pt idx="1">
                  <c:v>0.77</c:v>
                </c:pt>
                <c:pt idx="2">
                  <c:v>0.78</c:v>
                </c:pt>
                <c:pt idx="3">
                  <c:v>0.78</c:v>
                </c:pt>
                <c:pt idx="4">
                  <c:v>0.78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</c:v>
                </c:pt>
                <c:pt idx="9">
                  <c:v>0.8</c:v>
                </c:pt>
                <c:pt idx="10">
                  <c:v>1.68</c:v>
                </c:pt>
                <c:pt idx="11">
                  <c:v>1.68</c:v>
                </c:pt>
                <c:pt idx="12">
                  <c:v>1.98</c:v>
                </c:pt>
                <c:pt idx="13">
                  <c:v>1.98</c:v>
                </c:pt>
                <c:pt idx="14">
                  <c:v>1.39</c:v>
                </c:pt>
                <c:pt idx="15">
                  <c:v>1.39</c:v>
                </c:pt>
                <c:pt idx="16">
                  <c:v>1.32</c:v>
                </c:pt>
                <c:pt idx="17">
                  <c:v>1.32</c:v>
                </c:pt>
                <c:pt idx="18">
                  <c:v>1.32</c:v>
                </c:pt>
                <c:pt idx="19">
                  <c:v>1.47</c:v>
                </c:pt>
                <c:pt idx="20">
                  <c:v>1.47</c:v>
                </c:pt>
                <c:pt idx="21">
                  <c:v>2.21</c:v>
                </c:pt>
                <c:pt idx="22">
                  <c:v>2.2799999999999998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1.1399999999999999</c:v>
                </c:pt>
                <c:pt idx="33">
                  <c:v>1.31</c:v>
                </c:pt>
                <c:pt idx="34">
                  <c:v>1.31</c:v>
                </c:pt>
                <c:pt idx="35">
                  <c:v>1.37</c:v>
                </c:pt>
                <c:pt idx="36">
                  <c:v>1.21</c:v>
                </c:pt>
                <c:pt idx="37">
                  <c:v>1.21</c:v>
                </c:pt>
                <c:pt idx="38">
                  <c:v>1.21</c:v>
                </c:pt>
                <c:pt idx="39">
                  <c:v>1.21</c:v>
                </c:pt>
                <c:pt idx="40">
                  <c:v>1.39</c:v>
                </c:pt>
                <c:pt idx="41">
                  <c:v>1.39</c:v>
                </c:pt>
                <c:pt idx="44">
                  <c:v>1.73</c:v>
                </c:pt>
                <c:pt idx="45">
                  <c:v>1.73</c:v>
                </c:pt>
                <c:pt idx="46">
                  <c:v>1.73</c:v>
                </c:pt>
                <c:pt idx="47">
                  <c:v>1.73</c:v>
                </c:pt>
                <c:pt idx="48">
                  <c:v>1.73</c:v>
                </c:pt>
                <c:pt idx="49">
                  <c:v>1.73</c:v>
                </c:pt>
                <c:pt idx="50">
                  <c:v>0.55000000000000004</c:v>
                </c:pt>
                <c:pt idx="51">
                  <c:v>0.48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8">
                  <c:v>0.21</c:v>
                </c:pt>
                <c:pt idx="59">
                  <c:v>0.21</c:v>
                </c:pt>
                <c:pt idx="60">
                  <c:v>0.21</c:v>
                </c:pt>
                <c:pt idx="61">
                  <c:v>0.21</c:v>
                </c:pt>
                <c:pt idx="62">
                  <c:v>0.21</c:v>
                </c:pt>
                <c:pt idx="63">
                  <c:v>0.21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72">
                  <c:v>0.42</c:v>
                </c:pt>
                <c:pt idx="73">
                  <c:v>0.42</c:v>
                </c:pt>
                <c:pt idx="74">
                  <c:v>0.42</c:v>
                </c:pt>
                <c:pt idx="75">
                  <c:v>0.42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0.08</c:v>
                </c:pt>
                <c:pt idx="97">
                  <c:v>0.08</c:v>
                </c:pt>
                <c:pt idx="98">
                  <c:v>0.1</c:v>
                </c:pt>
                <c:pt idx="99">
                  <c:v>0.1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D-48ED-8AF1-4C9753774884}"/>
            </c:ext>
          </c:extLst>
        </c:ser>
        <c:ser>
          <c:idx val="3"/>
          <c:order val="3"/>
          <c:tx>
            <c:strRef>
              <c:f>'Biogas composition'!$E$1</c:f>
              <c:strCache>
                <c:ptCount val="1"/>
                <c:pt idx="0">
                  <c:v>Propane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'Biogas composition'!$B$38:$B$177</c:f>
              <c:numCache>
                <c:formatCode>0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150</c:v>
                </c:pt>
              </c:numCache>
            </c:numRef>
          </c:cat>
          <c:val>
            <c:numRef>
              <c:f>'Biogas composition'!$E$38:$E$177</c:f>
              <c:numCache>
                <c:formatCode>General</c:formatCode>
                <c:ptCount val="140"/>
                <c:pt idx="0">
                  <c:v>1.52</c:v>
                </c:pt>
                <c:pt idx="1">
                  <c:v>1.52</c:v>
                </c:pt>
                <c:pt idx="2">
                  <c:v>1.77</c:v>
                </c:pt>
                <c:pt idx="3">
                  <c:v>1.77</c:v>
                </c:pt>
                <c:pt idx="4">
                  <c:v>1.77</c:v>
                </c:pt>
                <c:pt idx="5">
                  <c:v>1.59</c:v>
                </c:pt>
                <c:pt idx="6">
                  <c:v>1.59</c:v>
                </c:pt>
                <c:pt idx="7">
                  <c:v>1.59</c:v>
                </c:pt>
                <c:pt idx="8">
                  <c:v>1.86</c:v>
                </c:pt>
                <c:pt idx="9">
                  <c:v>1.86</c:v>
                </c:pt>
                <c:pt idx="10">
                  <c:v>1.67</c:v>
                </c:pt>
                <c:pt idx="11">
                  <c:v>1.67</c:v>
                </c:pt>
                <c:pt idx="12">
                  <c:v>1.77</c:v>
                </c:pt>
                <c:pt idx="13">
                  <c:v>1.77</c:v>
                </c:pt>
                <c:pt idx="14">
                  <c:v>1.63</c:v>
                </c:pt>
                <c:pt idx="15">
                  <c:v>1.63</c:v>
                </c:pt>
                <c:pt idx="16">
                  <c:v>1.57</c:v>
                </c:pt>
                <c:pt idx="17">
                  <c:v>1.57</c:v>
                </c:pt>
                <c:pt idx="18">
                  <c:v>1.57</c:v>
                </c:pt>
                <c:pt idx="19">
                  <c:v>1.48</c:v>
                </c:pt>
                <c:pt idx="20">
                  <c:v>1.48</c:v>
                </c:pt>
                <c:pt idx="21">
                  <c:v>1.66</c:v>
                </c:pt>
                <c:pt idx="22">
                  <c:v>1.88</c:v>
                </c:pt>
                <c:pt idx="23">
                  <c:v>2.38</c:v>
                </c:pt>
                <c:pt idx="24">
                  <c:v>2.38</c:v>
                </c:pt>
                <c:pt idx="25">
                  <c:v>2.38</c:v>
                </c:pt>
                <c:pt idx="26">
                  <c:v>2.38</c:v>
                </c:pt>
                <c:pt idx="27">
                  <c:v>2.38</c:v>
                </c:pt>
                <c:pt idx="28">
                  <c:v>2.38</c:v>
                </c:pt>
                <c:pt idx="30">
                  <c:v>2.0299999999999998</c:v>
                </c:pt>
                <c:pt idx="31">
                  <c:v>2.0299999999999998</c:v>
                </c:pt>
                <c:pt idx="32">
                  <c:v>2.0299999999999998</c:v>
                </c:pt>
                <c:pt idx="33">
                  <c:v>1.97</c:v>
                </c:pt>
                <c:pt idx="34">
                  <c:v>1.97</c:v>
                </c:pt>
                <c:pt idx="35">
                  <c:v>2.12</c:v>
                </c:pt>
                <c:pt idx="36">
                  <c:v>1.91</c:v>
                </c:pt>
                <c:pt idx="37">
                  <c:v>1.91</c:v>
                </c:pt>
                <c:pt idx="38">
                  <c:v>1.91</c:v>
                </c:pt>
                <c:pt idx="39">
                  <c:v>1.91</c:v>
                </c:pt>
                <c:pt idx="40">
                  <c:v>2.2400000000000002</c:v>
                </c:pt>
                <c:pt idx="41">
                  <c:v>2.2400000000000002</c:v>
                </c:pt>
                <c:pt idx="44">
                  <c:v>1.95</c:v>
                </c:pt>
                <c:pt idx="45">
                  <c:v>1.95</c:v>
                </c:pt>
                <c:pt idx="46">
                  <c:v>1.95</c:v>
                </c:pt>
                <c:pt idx="47">
                  <c:v>1.95</c:v>
                </c:pt>
                <c:pt idx="48">
                  <c:v>1.95</c:v>
                </c:pt>
                <c:pt idx="49">
                  <c:v>1.95</c:v>
                </c:pt>
                <c:pt idx="50">
                  <c:v>1.96</c:v>
                </c:pt>
                <c:pt idx="51">
                  <c:v>1.88</c:v>
                </c:pt>
                <c:pt idx="52">
                  <c:v>1.88</c:v>
                </c:pt>
                <c:pt idx="53">
                  <c:v>1.88</c:v>
                </c:pt>
                <c:pt idx="54">
                  <c:v>1.88</c:v>
                </c:pt>
                <c:pt idx="55">
                  <c:v>1.88</c:v>
                </c:pt>
                <c:pt idx="56">
                  <c:v>1.88</c:v>
                </c:pt>
                <c:pt idx="58">
                  <c:v>1.55</c:v>
                </c:pt>
                <c:pt idx="59">
                  <c:v>1.55</c:v>
                </c:pt>
                <c:pt idx="60">
                  <c:v>1.55</c:v>
                </c:pt>
                <c:pt idx="61">
                  <c:v>1.55</c:v>
                </c:pt>
                <c:pt idx="62">
                  <c:v>1.55</c:v>
                </c:pt>
                <c:pt idx="63">
                  <c:v>1.55</c:v>
                </c:pt>
                <c:pt idx="65">
                  <c:v>1.72</c:v>
                </c:pt>
                <c:pt idx="66">
                  <c:v>1.72</c:v>
                </c:pt>
                <c:pt idx="67">
                  <c:v>1.72</c:v>
                </c:pt>
                <c:pt idx="68">
                  <c:v>1.72</c:v>
                </c:pt>
                <c:pt idx="72">
                  <c:v>1.51</c:v>
                </c:pt>
                <c:pt idx="73">
                  <c:v>1.51</c:v>
                </c:pt>
                <c:pt idx="74">
                  <c:v>1.51</c:v>
                </c:pt>
                <c:pt idx="75">
                  <c:v>1.51</c:v>
                </c:pt>
                <c:pt idx="76">
                  <c:v>1.51</c:v>
                </c:pt>
                <c:pt idx="77">
                  <c:v>1.51</c:v>
                </c:pt>
                <c:pt idx="78">
                  <c:v>1.51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1.2</c:v>
                </c:pt>
                <c:pt idx="97">
                  <c:v>1.2</c:v>
                </c:pt>
                <c:pt idx="98">
                  <c:v>1.0900000000000001</c:v>
                </c:pt>
                <c:pt idx="99">
                  <c:v>1.06</c:v>
                </c:pt>
                <c:pt idx="100">
                  <c:v>1.1599999999999999</c:v>
                </c:pt>
                <c:pt idx="101">
                  <c:v>1.1599999999999999</c:v>
                </c:pt>
                <c:pt idx="102">
                  <c:v>1.1599999999999999</c:v>
                </c:pt>
                <c:pt idx="103">
                  <c:v>1.23</c:v>
                </c:pt>
                <c:pt idx="104">
                  <c:v>1.23</c:v>
                </c:pt>
                <c:pt idx="105">
                  <c:v>1.23</c:v>
                </c:pt>
                <c:pt idx="106">
                  <c:v>1.23</c:v>
                </c:pt>
                <c:pt idx="110">
                  <c:v>1.01</c:v>
                </c:pt>
                <c:pt idx="111">
                  <c:v>1.01</c:v>
                </c:pt>
                <c:pt idx="112">
                  <c:v>1.01</c:v>
                </c:pt>
                <c:pt idx="113">
                  <c:v>1.01</c:v>
                </c:pt>
                <c:pt idx="114">
                  <c:v>1.01</c:v>
                </c:pt>
                <c:pt idx="115">
                  <c:v>1.01</c:v>
                </c:pt>
                <c:pt idx="116">
                  <c:v>1.01</c:v>
                </c:pt>
                <c:pt idx="117">
                  <c:v>1.01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D-48ED-8AF1-4C975377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82918072"/>
        <c:axId val="1873998919"/>
      </c:barChart>
      <c:dateAx>
        <c:axId val="982918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3998919"/>
        <c:crosses val="autoZero"/>
        <c:auto val="0"/>
        <c:lblOffset val="100"/>
        <c:baseTimeUnit val="days"/>
        <c:majorUnit val="10"/>
      </c:dateAx>
      <c:valAx>
        <c:axId val="18739989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i-FI" b="1"/>
                  <a:t>Proportion (%)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2918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36584838419485"/>
          <c:y val="0.42313667697210894"/>
          <c:w val="0.11522995249449056"/>
          <c:h val="0.2576883289203196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'Biogas production'!$D$1</c:f>
              <c:strCache>
                <c:ptCount val="1"/>
                <c:pt idx="0">
                  <c:v> Avg. gas production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'Biogas production'!$B$3:$B$153</c:f>
              <c:numCache>
                <c:formatCode>0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'Biogas production'!$D$3:$D$153</c:f>
              <c:numCache>
                <c:formatCode>_(* #,##0.00_);_(* \(#,##0.00\);_(* "-"??_);_(@_)</c:formatCode>
                <c:ptCount val="151"/>
                <c:pt idx="0">
                  <c:v>23.401396560000002</c:v>
                </c:pt>
                <c:pt idx="1">
                  <c:v>33.625360823999998</c:v>
                </c:pt>
                <c:pt idx="2">
                  <c:v>34.244274504000003</c:v>
                </c:pt>
                <c:pt idx="3">
                  <c:v>37.028870351999998</c:v>
                </c:pt>
                <c:pt idx="4">
                  <c:v>34.658413104000005</c:v>
                </c:pt>
                <c:pt idx="5">
                  <c:v>31.447890407999999</c:v>
                </c:pt>
                <c:pt idx="6">
                  <c:v>19.907047991999999</c:v>
                </c:pt>
                <c:pt idx="7">
                  <c:v>20.008805855999999</c:v>
                </c:pt>
                <c:pt idx="8">
                  <c:v>25.761359448</c:v>
                </c:pt>
                <c:pt idx="9">
                  <c:v>22.140535440000001</c:v>
                </c:pt>
                <c:pt idx="10">
                  <c:v>24.770695392</c:v>
                </c:pt>
                <c:pt idx="11">
                  <c:v>29.628629088</c:v>
                </c:pt>
                <c:pt idx="12">
                  <c:v>26.174764344</c:v>
                </c:pt>
                <c:pt idx="13">
                  <c:v>19.325623344</c:v>
                </c:pt>
                <c:pt idx="14">
                  <c:v>23.3694618</c:v>
                </c:pt>
                <c:pt idx="15">
                  <c:v>33.212589768000001</c:v>
                </c:pt>
                <c:pt idx="16">
                  <c:v>22.999080696</c:v>
                </c:pt>
                <c:pt idx="17">
                  <c:v>9.9162420479999991</c:v>
                </c:pt>
                <c:pt idx="18">
                  <c:v>11.088844128</c:v>
                </c:pt>
                <c:pt idx="19">
                  <c:v>9.7348929599999998</c:v>
                </c:pt>
                <c:pt idx="20">
                  <c:v>13.725291839999999</c:v>
                </c:pt>
                <c:pt idx="21">
                  <c:v>13.699119624</c:v>
                </c:pt>
                <c:pt idx="22">
                  <c:v>15.652272936000001</c:v>
                </c:pt>
                <c:pt idx="23">
                  <c:v>16.269500424</c:v>
                </c:pt>
                <c:pt idx="24">
                  <c:v>10.321852488000001</c:v>
                </c:pt>
                <c:pt idx="25">
                  <c:v>6.6371544</c:v>
                </c:pt>
                <c:pt idx="26">
                  <c:v>15.586306872</c:v>
                </c:pt>
                <c:pt idx="27">
                  <c:v>24.053285064000001</c:v>
                </c:pt>
                <c:pt idx="28">
                  <c:v>18.044246352000002</c:v>
                </c:pt>
                <c:pt idx="29">
                  <c:v>21.881214168</c:v>
                </c:pt>
                <c:pt idx="30">
                  <c:v>22.019900999999997</c:v>
                </c:pt>
                <c:pt idx="33">
                  <c:v>15.981022392</c:v>
                </c:pt>
                <c:pt idx="34">
                  <c:v>22.267809528000001</c:v>
                </c:pt>
                <c:pt idx="35">
                  <c:v>23.053006608</c:v>
                </c:pt>
                <c:pt idx="36">
                  <c:v>18.162143231999998</c:v>
                </c:pt>
                <c:pt idx="37">
                  <c:v>15.133917264000001</c:v>
                </c:pt>
                <c:pt idx="38">
                  <c:v>12.897421487999999</c:v>
                </c:pt>
                <c:pt idx="39">
                  <c:v>11.897447088</c:v>
                </c:pt>
                <c:pt idx="40">
                  <c:v>16.750272215999999</c:v>
                </c:pt>
                <c:pt idx="41">
                  <c:v>10.899159264</c:v>
                </c:pt>
                <c:pt idx="42">
                  <c:v>8.0913189360000004</c:v>
                </c:pt>
                <c:pt idx="43">
                  <c:v>8.3868571440000004</c:v>
                </c:pt>
                <c:pt idx="47">
                  <c:v>10.970681568</c:v>
                </c:pt>
                <c:pt idx="48">
                  <c:v>9.3168796799999996</c:v>
                </c:pt>
                <c:pt idx="51">
                  <c:v>13.745272728</c:v>
                </c:pt>
                <c:pt idx="52">
                  <c:v>11.973721511999999</c:v>
                </c:pt>
                <c:pt idx="54">
                  <c:v>12.559239672</c:v>
                </c:pt>
                <c:pt idx="55">
                  <c:v>14.143279272000001</c:v>
                </c:pt>
                <c:pt idx="56">
                  <c:v>13.929281256000001</c:v>
                </c:pt>
                <c:pt idx="57">
                  <c:v>11.479839</c:v>
                </c:pt>
                <c:pt idx="58">
                  <c:v>11.325503352</c:v>
                </c:pt>
                <c:pt idx="59">
                  <c:v>10.169756568</c:v>
                </c:pt>
                <c:pt idx="60">
                  <c:v>9.6982325520000003</c:v>
                </c:pt>
                <c:pt idx="61">
                  <c:v>12.101234328</c:v>
                </c:pt>
                <c:pt idx="62">
                  <c:v>9.5014110719999998</c:v>
                </c:pt>
                <c:pt idx="63">
                  <c:v>13.036850400000001</c:v>
                </c:pt>
                <c:pt idx="64">
                  <c:v>13.039973688</c:v>
                </c:pt>
                <c:pt idx="65">
                  <c:v>10.877599992</c:v>
                </c:pt>
                <c:pt idx="66">
                  <c:v>8.9214789840000002</c:v>
                </c:pt>
                <c:pt idx="67">
                  <c:v>9.8231999999999999</c:v>
                </c:pt>
                <c:pt idx="68">
                  <c:v>14.437714296000001</c:v>
                </c:pt>
                <c:pt idx="69">
                  <c:v>16.748185295999999</c:v>
                </c:pt>
                <c:pt idx="70">
                  <c:v>9.640176984</c:v>
                </c:pt>
                <c:pt idx="71">
                  <c:v>9.4629716160000008</c:v>
                </c:pt>
                <c:pt idx="72">
                  <c:v>11.129617968</c:v>
                </c:pt>
                <c:pt idx="73">
                  <c:v>10.085822951999999</c:v>
                </c:pt>
                <c:pt idx="74">
                  <c:v>11.518190687999999</c:v>
                </c:pt>
                <c:pt idx="75">
                  <c:v>10.959056759999999</c:v>
                </c:pt>
                <c:pt idx="76">
                  <c:v>12.104088407999999</c:v>
                </c:pt>
                <c:pt idx="77">
                  <c:v>2.9723076960000001</c:v>
                </c:pt>
                <c:pt idx="78">
                  <c:v>7.6816623360000005</c:v>
                </c:pt>
                <c:pt idx="82">
                  <c:v>16.289672736</c:v>
                </c:pt>
                <c:pt idx="89">
                  <c:v>6.2210292719999991</c:v>
                </c:pt>
                <c:pt idx="90">
                  <c:v>4.1559337680000006</c:v>
                </c:pt>
                <c:pt idx="91">
                  <c:v>4.9298619600000002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0-45CD-B7BB-9968CFF63C6C}"/>
            </c:ext>
          </c:extLst>
        </c:ser>
        <c:ser>
          <c:idx val="2"/>
          <c:order val="1"/>
          <c:tx>
            <c:strRef>
              <c:f>'Biogas production'!$F$1</c:f>
              <c:strCache>
                <c:ptCount val="1"/>
                <c:pt idx="0">
                  <c:v> Avg. Methane production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'Biogas production'!$B$3:$B$153</c:f>
              <c:numCache>
                <c:formatCode>0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'Biogas production'!$F$3:$F$153</c:f>
              <c:numCache>
                <c:formatCode>_-* #\ ##0.000_-;\-* #\ ##0.000_-;_-* "-"??_-;_-@_-</c:formatCode>
                <c:ptCount val="151"/>
                <c:pt idx="0">
                  <c:v>19.710996322488</c:v>
                </c:pt>
                <c:pt idx="1">
                  <c:v>28.322641422055199</c:v>
                </c:pt>
                <c:pt idx="2">
                  <c:v>22.505337204028802</c:v>
                </c:pt>
                <c:pt idx="3">
                  <c:v>24.335373595334399</c:v>
                </c:pt>
                <c:pt idx="4">
                  <c:v>22.777509091948804</c:v>
                </c:pt>
                <c:pt idx="5">
                  <c:v>18.334120107863999</c:v>
                </c:pt>
                <c:pt idx="6">
                  <c:v>11.605808979335997</c:v>
                </c:pt>
                <c:pt idx="7">
                  <c:v>11.665133814048</c:v>
                </c:pt>
                <c:pt idx="8">
                  <c:v>16.9612790605632</c:v>
                </c:pt>
                <c:pt idx="9">
                  <c:v>14.577328533696003</c:v>
                </c:pt>
                <c:pt idx="10">
                  <c:v>16.224805481760001</c:v>
                </c:pt>
                <c:pt idx="11">
                  <c:v>19.406752052639998</c:v>
                </c:pt>
                <c:pt idx="12">
                  <c:v>17.835484424001599</c:v>
                </c:pt>
                <c:pt idx="13">
                  <c:v>13.1684797466016</c:v>
                </c:pt>
                <c:pt idx="14">
                  <c:v>13.738906592220001</c:v>
                </c:pt>
                <c:pt idx="15">
                  <c:v>19.525681524607201</c:v>
                </c:pt>
                <c:pt idx="16">
                  <c:v>9.3514262109935995</c:v>
                </c:pt>
                <c:pt idx="17">
                  <c:v>4.0319440167167997</c:v>
                </c:pt>
                <c:pt idx="18">
                  <c:v>4.5087240224447989</c:v>
                </c:pt>
                <c:pt idx="19">
                  <c:v>4.2697240522559996</c:v>
                </c:pt>
                <c:pt idx="20">
                  <c:v>6.0199130010239994</c:v>
                </c:pt>
                <c:pt idx="21">
                  <c:v>5.2673114954280003</c:v>
                </c:pt>
                <c:pt idx="22">
                  <c:v>6.8322171365640001</c:v>
                </c:pt>
                <c:pt idx="23">
                  <c:v>8.2795487657735993</c:v>
                </c:pt>
                <c:pt idx="24">
                  <c:v>5.2527907311432012</c:v>
                </c:pt>
                <c:pt idx="25">
                  <c:v>3.37764787416</c:v>
                </c:pt>
                <c:pt idx="26">
                  <c:v>7.9318715671608002</c:v>
                </c:pt>
                <c:pt idx="27">
                  <c:v>12.2407167690696</c:v>
                </c:pt>
                <c:pt idx="28">
                  <c:v>9.1827169685328016</c:v>
                </c:pt>
                <c:pt idx="30">
                  <c:v>10.483674866099998</c:v>
                </c:pt>
                <c:pt idx="33">
                  <c:v>6.7567762673376004</c:v>
                </c:pt>
                <c:pt idx="34">
                  <c:v>9.4148298684384013</c:v>
                </c:pt>
                <c:pt idx="35">
                  <c:v>10.717342772059201</c:v>
                </c:pt>
                <c:pt idx="36">
                  <c:v>6.2096367710207998</c:v>
                </c:pt>
                <c:pt idx="37">
                  <c:v>5.1742863125616001</c:v>
                </c:pt>
                <c:pt idx="38">
                  <c:v>4.4096284067471991</c:v>
                </c:pt>
                <c:pt idx="39">
                  <c:v>4.0677371593871996</c:v>
                </c:pt>
                <c:pt idx="40">
                  <c:v>8.701766416212001</c:v>
                </c:pt>
                <c:pt idx="41">
                  <c:v>5.6621132376479997</c:v>
                </c:pt>
                <c:pt idx="47">
                  <c:v>7.6849624383839998</c:v>
                </c:pt>
                <c:pt idx="48">
                  <c:v>6.5264742158399995</c:v>
                </c:pt>
                <c:pt idx="51">
                  <c:v>6.5317536003456009</c:v>
                </c:pt>
                <c:pt idx="52">
                  <c:v>5.6899124625024005</c:v>
                </c:pt>
                <c:pt idx="53">
                  <c:v>0</c:v>
                </c:pt>
                <c:pt idx="54">
                  <c:v>5.968150692134401</c:v>
                </c:pt>
                <c:pt idx="55">
                  <c:v>6.720886310054401</c:v>
                </c:pt>
                <c:pt idx="56">
                  <c:v>6.6191944528512012</c:v>
                </c:pt>
                <c:pt idx="57">
                  <c:v>0</c:v>
                </c:pt>
                <c:pt idx="58">
                  <c:v>5.4702181190159997</c:v>
                </c:pt>
                <c:pt idx="59">
                  <c:v>4.9119924223440004</c:v>
                </c:pt>
                <c:pt idx="60">
                  <c:v>4.6842463226159996</c:v>
                </c:pt>
                <c:pt idx="61">
                  <c:v>5.8448961804240005</c:v>
                </c:pt>
                <c:pt idx="62">
                  <c:v>4.5891815477759996</c:v>
                </c:pt>
                <c:pt idx="63">
                  <c:v>6.2967987431999992</c:v>
                </c:pt>
                <c:pt idx="65">
                  <c:v>4.1062939969800007</c:v>
                </c:pt>
                <c:pt idx="66">
                  <c:v>3.36785831646</c:v>
                </c:pt>
                <c:pt idx="67">
                  <c:v>3.7082580000000003</c:v>
                </c:pt>
                <c:pt idx="68">
                  <c:v>5.450237146740001</c:v>
                </c:pt>
                <c:pt idx="72">
                  <c:v>5.2910203819872006</c:v>
                </c:pt>
                <c:pt idx="73">
                  <c:v>4.7948002313807994</c:v>
                </c:pt>
                <c:pt idx="74">
                  <c:v>5.4757478530752</c:v>
                </c:pt>
                <c:pt idx="75">
                  <c:v>5.2099355837039987</c:v>
                </c:pt>
                <c:pt idx="76">
                  <c:v>5.7542836291631998</c:v>
                </c:pt>
                <c:pt idx="77">
                  <c:v>1.5259827711264</c:v>
                </c:pt>
                <c:pt idx="78">
                  <c:v>3.9437654433024005</c:v>
                </c:pt>
                <c:pt idx="82">
                  <c:v>8.6188658446176003</c:v>
                </c:pt>
                <c:pt idx="89">
                  <c:v>3.291546587815199</c:v>
                </c:pt>
                <c:pt idx="90">
                  <c:v>2.1989045566488001</c:v>
                </c:pt>
                <c:pt idx="91">
                  <c:v>2.6083899630359997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20-45CD-B7BB-9968CFF63C6C}"/>
            </c:ext>
          </c:extLst>
        </c:ser>
        <c:ser>
          <c:idx val="3"/>
          <c:order val="3"/>
          <c:tx>
            <c:v>Sugar added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16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B20-45CD-B7BB-9968CFF63C6C}"/>
            </c:ext>
          </c:extLst>
        </c:ser>
        <c:ser>
          <c:idx val="4"/>
          <c:order val="4"/>
          <c:tx>
            <c:v>Start MBR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42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B20-45CD-B7BB-9968CFF63C6C}"/>
            </c:ext>
          </c:extLst>
        </c:ser>
        <c:ser>
          <c:idx val="5"/>
          <c:order val="5"/>
          <c:tx>
            <c:v>sludges leaked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68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B20-45CD-B7BB-9968CFF63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  <c:extLst/>
      </c:scatterChart>
      <c:scatterChart>
        <c:scatterStyle val="lineMarker"/>
        <c:varyColors val="0"/>
        <c:ser>
          <c:idx val="1"/>
          <c:order val="2"/>
          <c:tx>
            <c:strRef>
              <c:f>'Biogas production'!$I$1</c:f>
              <c:strCache>
                <c:ptCount val="1"/>
                <c:pt idx="0">
                  <c:v> Methane production rate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'Biogas production'!$B$3:$B$153</c:f>
              <c:numCache>
                <c:formatCode>0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'Biogas production'!$I$3:$I$153</c:f>
              <c:numCache>
                <c:formatCode>_(* #,##0.00_);_(* \(#,##0.00\);_(* "-"??_);_(@_)</c:formatCode>
                <c:ptCount val="151"/>
                <c:pt idx="2">
                  <c:v>0.72377019508876839</c:v>
                </c:pt>
                <c:pt idx="5">
                  <c:v>0.73615537166636891</c:v>
                </c:pt>
                <c:pt idx="6">
                  <c:v>0.3673460232159646</c:v>
                </c:pt>
                <c:pt idx="7">
                  <c:v>0.43665314679321121</c:v>
                </c:pt>
                <c:pt idx="9">
                  <c:v>0.38920063835018903</c:v>
                </c:pt>
                <c:pt idx="12">
                  <c:v>0.53160329901852399</c:v>
                </c:pt>
                <c:pt idx="14">
                  <c:v>0.28578253967521999</c:v>
                </c:pt>
                <c:pt idx="16">
                  <c:v>0.28114950291240154</c:v>
                </c:pt>
                <c:pt idx="19">
                  <c:v>0.53568447510961614</c:v>
                </c:pt>
                <c:pt idx="21">
                  <c:v>0.74811096437313007</c:v>
                </c:pt>
                <c:pt idx="23">
                  <c:v>1.7082745959709251</c:v>
                </c:pt>
                <c:pt idx="26">
                  <c:v>0.6115588245841912</c:v>
                </c:pt>
                <c:pt idx="28">
                  <c:v>1.6451021770049334</c:v>
                </c:pt>
                <c:pt idx="30">
                  <c:v>0.80773746037094118</c:v>
                </c:pt>
                <c:pt idx="36">
                  <c:v>0.25956061665966329</c:v>
                </c:pt>
                <c:pt idx="40">
                  <c:v>1.1878320845378312</c:v>
                </c:pt>
                <c:pt idx="47">
                  <c:v>0.30209346479604621</c:v>
                </c:pt>
                <c:pt idx="48">
                  <c:v>0.12264158094060189</c:v>
                </c:pt>
                <c:pt idx="49">
                  <c:v>0</c:v>
                </c:pt>
                <c:pt idx="51">
                  <c:v>0.2614814091548206</c:v>
                </c:pt>
                <c:pt idx="54">
                  <c:v>2.0919379748096634</c:v>
                </c:pt>
                <c:pt idx="56">
                  <c:v>0.58735615457008339</c:v>
                </c:pt>
                <c:pt idx="58">
                  <c:v>0.55371247166223891</c:v>
                </c:pt>
                <c:pt idx="63">
                  <c:v>0.14896550254770125</c:v>
                </c:pt>
                <c:pt idx="65">
                  <c:v>0.18072061074354456</c:v>
                </c:pt>
                <c:pt idx="72">
                  <c:v>0.4627261764219246</c:v>
                </c:pt>
                <c:pt idx="76">
                  <c:v>0.75447131431599379</c:v>
                </c:pt>
                <c:pt idx="77">
                  <c:v>0.40388612125300694</c:v>
                </c:pt>
                <c:pt idx="82">
                  <c:v>0.20722662184212071</c:v>
                </c:pt>
                <c:pt idx="91">
                  <c:v>0.17596055178165965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E-4D09-8EAB-DDEF7FF73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36952"/>
        <c:axId val="847436624"/>
      </c:scatterChart>
      <c:valAx>
        <c:axId val="60202277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</c:valAx>
      <c:valAx>
        <c:axId val="60201785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Production (L/d)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valAx>
        <c:axId val="847436624"/>
        <c:scaling>
          <c:orientation val="minMax"/>
          <c:max val="2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Methane pro. rate (m3CH4/kgCOD removed)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-* #,##0.0_-;\-* #,##0.0_-;_-* &quot;-&quot;?_-;_-@_-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7436952"/>
        <c:crosses val="max"/>
        <c:crossBetween val="midCat"/>
      </c:valAx>
      <c:valAx>
        <c:axId val="84743695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84743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318380230216166"/>
          <c:y val="0.13844441995982509"/>
          <c:w val="0.1646704926890222"/>
          <c:h val="0.18315397436076641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S0_raw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'TOC-TN re-measurement '!$B$83:$B$91</c:f>
            </c:numRef>
          </c:xVal>
          <c:yVal>
            <c:numRef>
              <c:f>'TOC-TN re-measurement '!$Y$83:$Y$91</c:f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138-424F-AC2E-7D414F0ED6A3}"/>
            </c:ext>
          </c:extLst>
        </c:ser>
        <c:ser>
          <c:idx val="0"/>
          <c:order val="1"/>
          <c:tx>
            <c:v>S0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'TOC-TN re-measurement '!$B$97:$B$111</c:f>
            </c:numRef>
          </c:xVal>
          <c:yVal>
            <c:numRef>
              <c:f>'TOC-TN re-measurement '!$AA$97:$AA$111</c:f>
            </c:numRef>
          </c:yVal>
          <c:smooth val="0"/>
          <c:extLst>
            <c:ext xmlns:c16="http://schemas.microsoft.com/office/drawing/2014/chart" uri="{C3380CC4-5D6E-409C-BE32-E72D297353CC}">
              <c16:uniqueId val="{00000001-8138-424F-AC2E-7D414F0ED6A3}"/>
            </c:ext>
          </c:extLst>
        </c:ser>
        <c:ser>
          <c:idx val="2"/>
          <c:order val="2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'TOC-TN re-measurement '!$B$97:$B$111</c:f>
            </c:numRef>
          </c:xVal>
          <c:yVal>
            <c:numRef>
              <c:f>'TOC-TN re-measurement '!$CF$97:$CF$111</c:f>
            </c:numRef>
          </c:yVal>
          <c:smooth val="0"/>
          <c:extLst>
            <c:ext xmlns:c16="http://schemas.microsoft.com/office/drawing/2014/chart" uri="{C3380CC4-5D6E-409C-BE32-E72D297353CC}">
              <c16:uniqueId val="{00000002-8138-424F-AC2E-7D414F0ED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  <c:extLst/>
      </c:scatterChart>
      <c:scatterChart>
        <c:scatterStyle val="lineMarker"/>
        <c:varyColors val="0"/>
        <c:ser>
          <c:idx val="3"/>
          <c:order val="3"/>
          <c:tx>
            <c:v>Removal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'TOC-TN re-measurement '!$B$97:$B$111</c:f>
            </c:numRef>
          </c:xVal>
          <c:yVal>
            <c:numRef>
              <c:f>'TOC-TN re-measurement '!$ER$97:$ER$111</c:f>
            </c:numRef>
          </c:yVal>
          <c:smooth val="0"/>
          <c:extLst>
            <c:ext xmlns:c16="http://schemas.microsoft.com/office/drawing/2014/chart" uri="{C3380CC4-5D6E-409C-BE32-E72D297353CC}">
              <c16:uniqueId val="{00000003-8138-424F-AC2E-7D414F0ED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7888"/>
        <c:axId val="751273136"/>
      </c:scatterChart>
      <c:valAx>
        <c:axId val="60202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</c:valAx>
      <c:valAx>
        <c:axId val="602017856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COD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valAx>
        <c:axId val="751273136"/>
        <c:scaling>
          <c:orientation val="minMax"/>
          <c:max val="1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Removal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267888"/>
        <c:crosses val="max"/>
        <c:crossBetween val="midCat"/>
      </c:valAx>
      <c:valAx>
        <c:axId val="7512678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5127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510219085892079"/>
          <c:y val="5.8995840702786087E-2"/>
          <c:w val="0.14557132493750727"/>
          <c:h val="0.1169377996267478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'TOC-TN re-measurement '!$B$97:$B$109</c:f>
            </c:numRef>
          </c:xVal>
          <c:yVal>
            <c:numRef>
              <c:f>'TOC-TN re-measurement '!$C$97:$C$109</c:f>
            </c:numRef>
          </c:yVal>
          <c:smooth val="0"/>
          <c:extLst>
            <c:ext xmlns:c16="http://schemas.microsoft.com/office/drawing/2014/chart" uri="{C3380CC4-5D6E-409C-BE32-E72D297353CC}">
              <c16:uniqueId val="{00000000-094B-48F3-BD01-2FB88D34AE5D}"/>
            </c:ext>
          </c:extLst>
        </c:ser>
        <c:ser>
          <c:idx val="2"/>
          <c:order val="1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'TOC-TN re-measurement '!$B$97:$B$109</c:f>
            </c:numRef>
          </c:xVal>
          <c:yVal>
            <c:numRef>
              <c:f>'TOC-TN re-measurement '!$BH$97:$BH$109</c:f>
            </c:numRef>
          </c:yVal>
          <c:smooth val="0"/>
          <c:extLst>
            <c:ext xmlns:c16="http://schemas.microsoft.com/office/drawing/2014/chart" uri="{C3380CC4-5D6E-409C-BE32-E72D297353CC}">
              <c16:uniqueId val="{00000001-094B-48F3-BD01-2FB88D34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</c:scatterChart>
      <c:scatterChart>
        <c:scatterStyle val="lineMarker"/>
        <c:varyColors val="0"/>
        <c:ser>
          <c:idx val="3"/>
          <c:order val="2"/>
          <c:tx>
            <c:v>Removal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'TOC-TN re-measurement '!$B$97:$B$109</c:f>
            </c:numRef>
          </c:xVal>
          <c:yVal>
            <c:numRef>
              <c:f>'TOC-TN re-measurement '!$EN$97:$EN$109</c:f>
            </c:numRef>
          </c:yVal>
          <c:smooth val="0"/>
          <c:extLst>
            <c:ext xmlns:c16="http://schemas.microsoft.com/office/drawing/2014/chart" uri="{C3380CC4-5D6E-409C-BE32-E72D297353CC}">
              <c16:uniqueId val="{00000002-094B-48F3-BD01-2FB88D34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7888"/>
        <c:axId val="751273136"/>
      </c:scatterChart>
      <c:valAx>
        <c:axId val="60202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</c:valAx>
      <c:valAx>
        <c:axId val="602017856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valAx>
        <c:axId val="751273136"/>
        <c:scaling>
          <c:orientation val="minMax"/>
          <c:max val="7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Removal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267888"/>
        <c:crosses val="max"/>
        <c:crossBetween val="midCat"/>
      </c:valAx>
      <c:valAx>
        <c:axId val="7512678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5127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07334962663436"/>
          <c:y val="5.6316819469041053E-2"/>
          <c:w val="0.15324508246340998"/>
          <c:h val="9.9630807810199853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'TOC-TN re-measurement '!$B$97:$B$109</c:f>
            </c:numRef>
          </c:xVal>
          <c:yVal>
            <c:numRef>
              <c:f>'TOC-TN re-measurement '!$D$97:$D$109</c:f>
            </c:numRef>
          </c:yVal>
          <c:smooth val="0"/>
          <c:extLst>
            <c:ext xmlns:c16="http://schemas.microsoft.com/office/drawing/2014/chart" uri="{C3380CC4-5D6E-409C-BE32-E72D297353CC}">
              <c16:uniqueId val="{00000000-BA34-479E-A628-508DCED3EDAD}"/>
            </c:ext>
          </c:extLst>
        </c:ser>
        <c:ser>
          <c:idx val="2"/>
          <c:order val="1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'TOC-TN re-measurement '!$B$97:$B$109</c:f>
            </c:numRef>
          </c:xVal>
          <c:yVal>
            <c:numRef>
              <c:f>'TOC-TN re-measurement '!$BI$97:$BI$109</c:f>
            </c:numRef>
          </c:yVal>
          <c:smooth val="0"/>
          <c:extLst>
            <c:ext xmlns:c16="http://schemas.microsoft.com/office/drawing/2014/chart" uri="{C3380CC4-5D6E-409C-BE32-E72D297353CC}">
              <c16:uniqueId val="{00000001-BA34-479E-A628-508DCED3E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</c:scatterChart>
      <c:scatterChart>
        <c:scatterStyle val="lineMarker"/>
        <c:varyColors val="0"/>
        <c:ser>
          <c:idx val="3"/>
          <c:order val="2"/>
          <c:tx>
            <c:v>Removal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'TOC-TN re-measurement '!$B$97:$B$109</c:f>
            </c:numRef>
          </c:xVal>
          <c:yVal>
            <c:numRef>
              <c:f>'TOC-TN re-measurement '!$EO$97:$EO$109</c:f>
            </c:numRef>
          </c:yVal>
          <c:smooth val="0"/>
          <c:extLst>
            <c:ext xmlns:c16="http://schemas.microsoft.com/office/drawing/2014/chart" uri="{C3380CC4-5D6E-409C-BE32-E72D297353CC}">
              <c16:uniqueId val="{00000002-BA34-479E-A628-508DCED3E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7888"/>
        <c:axId val="751273136"/>
      </c:scatterChart>
      <c:valAx>
        <c:axId val="60202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</c:valAx>
      <c:valAx>
        <c:axId val="6020178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TIC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  <c:majorUnit val="50"/>
      </c:valAx>
      <c:valAx>
        <c:axId val="751273136"/>
        <c:scaling>
          <c:orientation val="minMax"/>
          <c:min val="-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Removal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267888"/>
        <c:crosses val="max"/>
        <c:crossBetween val="midCat"/>
      </c:valAx>
      <c:valAx>
        <c:axId val="7512678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5127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73055555555557"/>
          <c:y val="4.4213148148148147E-2"/>
          <c:w val="0.43051984983804253"/>
          <c:h val="4.6374419855140341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'TOC-TN re-measurement '!$B$97:$B$109</c:f>
            </c:numRef>
          </c:xVal>
          <c:yVal>
            <c:numRef>
              <c:f>'TOC-TN re-measurement '!$E$97:$E$109</c:f>
            </c:numRef>
          </c:yVal>
          <c:smooth val="0"/>
          <c:extLst>
            <c:ext xmlns:c16="http://schemas.microsoft.com/office/drawing/2014/chart" uri="{C3380CC4-5D6E-409C-BE32-E72D297353CC}">
              <c16:uniqueId val="{00000000-989D-4BCF-9F43-0BA05C81341D}"/>
            </c:ext>
          </c:extLst>
        </c:ser>
        <c:ser>
          <c:idx val="2"/>
          <c:order val="1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'TOC-TN re-measurement '!$B$97:$B$109</c:f>
            </c:numRef>
          </c:xVal>
          <c:yVal>
            <c:numRef>
              <c:f>'TOC-TN re-measurement '!$BJ$97:$BJ$109</c:f>
            </c:numRef>
          </c:yVal>
          <c:smooth val="0"/>
          <c:extLst>
            <c:ext xmlns:c16="http://schemas.microsoft.com/office/drawing/2014/chart" uri="{C3380CC4-5D6E-409C-BE32-E72D297353CC}">
              <c16:uniqueId val="{00000001-989D-4BCF-9F43-0BA05C813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</c:scatterChart>
      <c:scatterChart>
        <c:scatterStyle val="lineMarker"/>
        <c:varyColors val="0"/>
        <c:ser>
          <c:idx val="3"/>
          <c:order val="2"/>
          <c:tx>
            <c:v>Removal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'TOC-TN re-measurement '!$B$97:$B$109</c:f>
            </c:numRef>
          </c:xVal>
          <c:yVal>
            <c:numRef>
              <c:f>'TOC-TN re-measurement '!$EP$97:$EP$109</c:f>
            </c:numRef>
          </c:yVal>
          <c:smooth val="0"/>
          <c:extLst>
            <c:ext xmlns:c16="http://schemas.microsoft.com/office/drawing/2014/chart" uri="{C3380CC4-5D6E-409C-BE32-E72D297353CC}">
              <c16:uniqueId val="{00000002-989D-4BCF-9F43-0BA05C813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7888"/>
        <c:axId val="751273136"/>
      </c:scatterChart>
      <c:valAx>
        <c:axId val="60202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</c:valAx>
      <c:valAx>
        <c:axId val="6020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valAx>
        <c:axId val="7512731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Removal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267888"/>
        <c:crosses val="max"/>
        <c:crossBetween val="midCat"/>
      </c:valAx>
      <c:valAx>
        <c:axId val="7512678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5127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73055555555557"/>
          <c:y val="4.4213148148148147E-2"/>
          <c:w val="0.43051984983804253"/>
          <c:h val="4.6374419855140341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S0_raw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'TOC-IC-pH'!$B$83:$B$91</c:f>
              <c:numCache>
                <c:formatCode>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'TOC-IC-pH'!$U$83:$U$91</c:f>
              <c:numCache>
                <c:formatCode>_-* #\ ##0_-;\-* #\ ##0_-;_-* "-"??_-;_-@_-</c:formatCode>
                <c:ptCount val="9"/>
                <c:pt idx="0">
                  <c:v>140</c:v>
                </c:pt>
                <c:pt idx="1">
                  <c:v>300</c:v>
                </c:pt>
                <c:pt idx="3">
                  <c:v>690</c:v>
                </c:pt>
                <c:pt idx="4">
                  <c:v>240</c:v>
                </c:pt>
                <c:pt idx="5">
                  <c:v>370</c:v>
                </c:pt>
                <c:pt idx="6">
                  <c:v>443.33333333333337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8B1-4712-ADB5-58357EBF0AC2}"/>
            </c:ext>
          </c:extLst>
        </c:ser>
        <c:ser>
          <c:idx val="0"/>
          <c:order val="1"/>
          <c:tx>
            <c:v>S0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'TOC-IC-pH'!$B$97:$B$111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'TOC-IC-pH'!$W$97:$W$111</c:f>
              <c:numCache>
                <c:formatCode>_(* #,##0.00_);_(* \(#,##0.00\);_(* "-"??_);_(@_)</c:formatCode>
                <c:ptCount val="15"/>
                <c:pt idx="0">
                  <c:v>1048.0571811476468</c:v>
                </c:pt>
                <c:pt idx="1">
                  <c:v>1004.708574336403</c:v>
                </c:pt>
                <c:pt idx="2">
                  <c:v>908.15066405220341</c:v>
                </c:pt>
                <c:pt idx="3">
                  <c:v>923.14988215065114</c:v>
                </c:pt>
                <c:pt idx="4">
                  <c:v>806.57577668706972</c:v>
                </c:pt>
                <c:pt idx="5">
                  <c:v>1013.4629127102501</c:v>
                </c:pt>
                <c:pt idx="6">
                  <c:v>1007.5753728987881</c:v>
                </c:pt>
                <c:pt idx="7">
                  <c:v>1138.8558511860983</c:v>
                </c:pt>
                <c:pt idx="8">
                  <c:v>878.46928049492294</c:v>
                </c:pt>
                <c:pt idx="9">
                  <c:v>250.66530276876045</c:v>
                </c:pt>
                <c:pt idx="10">
                  <c:v>253.85503293551062</c:v>
                </c:pt>
                <c:pt idx="11">
                  <c:v>202.26821312075745</c:v>
                </c:pt>
                <c:pt idx="12">
                  <c:v>352.45353563795857</c:v>
                </c:pt>
                <c:pt idx="13">
                  <c:v>166.17212460263559</c:v>
                </c:pt>
                <c:pt idx="14">
                  <c:v>346.82302514903307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1-4712-ADB5-58357EBF0AC2}"/>
            </c:ext>
          </c:extLst>
        </c:ser>
        <c:ser>
          <c:idx val="2"/>
          <c:order val="2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'TOC-IC-pH'!$B$97:$B$111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'TOC-IC-pH'!$BX$97:$BX$111</c:f>
              <c:numCache>
                <c:formatCode>_(* #,##0.00_);_(* \(#,##0.00\);_(* "-"??_);_(@_)</c:formatCode>
                <c:ptCount val="15"/>
                <c:pt idx="1">
                  <c:v>356.90462367345049</c:v>
                </c:pt>
                <c:pt idx="2">
                  <c:v>389.29167003863063</c:v>
                </c:pt>
                <c:pt idx="3">
                  <c:v>264.94842687764339</c:v>
                </c:pt>
                <c:pt idx="4">
                  <c:v>250.01590093495395</c:v>
                </c:pt>
                <c:pt idx="5">
                  <c:v>233.16012148320539</c:v>
                </c:pt>
                <c:pt idx="6">
                  <c:v>308.60944689208691</c:v>
                </c:pt>
                <c:pt idx="7">
                  <c:v>137.29983941387636</c:v>
                </c:pt>
                <c:pt idx="8">
                  <c:v>185.52343717112748</c:v>
                </c:pt>
                <c:pt idx="9">
                  <c:v>84.611238193157902</c:v>
                </c:pt>
                <c:pt idx="10">
                  <c:v>107.17137051024245</c:v>
                </c:pt>
                <c:pt idx="11">
                  <c:v>101.29463446204528</c:v>
                </c:pt>
                <c:pt idx="12">
                  <c:v>82.246782545638496</c:v>
                </c:pt>
                <c:pt idx="13">
                  <c:v>49.883540109122791</c:v>
                </c:pt>
                <c:pt idx="14">
                  <c:v>76.425892715125045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B1-4712-ADB5-58357EBF0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  <c:extLst/>
      </c:scatterChart>
      <c:scatterChart>
        <c:scatterStyle val="lineMarker"/>
        <c:varyColors val="0"/>
        <c:ser>
          <c:idx val="3"/>
          <c:order val="3"/>
          <c:tx>
            <c:v>Removal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'TOC-IC-pH'!$B$97:$B$111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'TOC-IC-pH'!$EF$97:$EF$111</c:f>
              <c:numCache>
                <c:formatCode>_(* #,##0.00_);_(* \(#,##0.00\);_(* "-"??_);_(@_)</c:formatCode>
                <c:ptCount val="15"/>
                <c:pt idx="1">
                  <c:v>64.476801254614415</c:v>
                </c:pt>
                <c:pt idx="2">
                  <c:v>57.133580864039004</c:v>
                </c:pt>
                <c:pt idx="3">
                  <c:v>71.299522211886512</c:v>
                </c:pt>
                <c:pt idx="4">
                  <c:v>69.002800708710893</c:v>
                </c:pt>
                <c:pt idx="5">
                  <c:v>76.993719399195612</c:v>
                </c:pt>
                <c:pt idx="6">
                  <c:v>69.371080795254116</c:v>
                </c:pt>
                <c:pt idx="7">
                  <c:v>87.944054616668026</c:v>
                </c:pt>
                <c:pt idx="8">
                  <c:v>78.881055798945525</c:v>
                </c:pt>
                <c:pt idx="9">
                  <c:v>66.245333016348084</c:v>
                </c:pt>
                <c:pt idx="10">
                  <c:v>57.782451948680368</c:v>
                </c:pt>
                <c:pt idx="11">
                  <c:v>49.920636120134844</c:v>
                </c:pt>
                <c:pt idx="12">
                  <c:v>76.664503479368506</c:v>
                </c:pt>
                <c:pt idx="13">
                  <c:v>69.980801395896933</c:v>
                </c:pt>
                <c:pt idx="14">
                  <c:v>77.964008392382794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B1-4712-ADB5-58357EBF0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7888"/>
        <c:axId val="751273136"/>
      </c:scatterChart>
      <c:valAx>
        <c:axId val="60202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</c:valAx>
      <c:valAx>
        <c:axId val="602017856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COD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valAx>
        <c:axId val="751273136"/>
        <c:scaling>
          <c:orientation val="minMax"/>
          <c:max val="1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Removal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267888"/>
        <c:crosses val="max"/>
        <c:crossBetween val="midCat"/>
      </c:valAx>
      <c:valAx>
        <c:axId val="7512678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5127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510219085892079"/>
          <c:y val="5.8995840702786087E-2"/>
          <c:w val="0.14557132493750727"/>
          <c:h val="0.1169377996267478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S0 (R² = 0.9595)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'TOC-TN re-measurement '!$B$96:$B$150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'!$AA$96:$AA$150</c:f>
            </c:numRef>
          </c:yVal>
          <c:smooth val="0"/>
          <c:extLst>
            <c:ext xmlns:c16="http://schemas.microsoft.com/office/drawing/2014/chart" uri="{C3380CC4-5D6E-409C-BE32-E72D297353CC}">
              <c16:uniqueId val="{00000000-9C2F-4F6B-AC84-951A78F8B063}"/>
            </c:ext>
          </c:extLst>
        </c:ser>
        <c:ser>
          <c:idx val="2"/>
          <c:order val="1"/>
          <c:tx>
            <c:v>S2 (R² = 0.9537)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'TOC-TN re-measurement '!$B$96:$B$150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'!$CF$96:$CF$150</c:f>
            </c:numRef>
          </c:yVal>
          <c:smooth val="0"/>
          <c:extLst>
            <c:ext xmlns:c16="http://schemas.microsoft.com/office/drawing/2014/chart" uri="{C3380CC4-5D6E-409C-BE32-E72D297353CC}">
              <c16:uniqueId val="{00000001-9C2F-4F6B-AC84-951A78F8B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  <c:extLst/>
      </c:scatterChart>
      <c:scatterChart>
        <c:scatterStyle val="lineMarker"/>
        <c:varyColors val="0"/>
        <c:ser>
          <c:idx val="3"/>
          <c:order val="2"/>
          <c:tx>
            <c:v>Removal UASB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'TOC-TN re-measurement '!$B$96:$B$150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'!$ER$96:$ER$150</c:f>
            </c:numRef>
          </c:yVal>
          <c:smooth val="0"/>
          <c:extLst>
            <c:ext xmlns:c16="http://schemas.microsoft.com/office/drawing/2014/chart" uri="{C3380CC4-5D6E-409C-BE32-E72D297353CC}">
              <c16:uniqueId val="{00000002-9C2F-4F6B-AC84-951A78F8B063}"/>
            </c:ext>
          </c:extLst>
        </c:ser>
        <c:ser>
          <c:idx val="1"/>
          <c:order val="3"/>
          <c:tx>
            <c:v>No add sugar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'TOC-TN re-measurement '!$B$105</c:f>
            </c:numRef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C2F-4F6B-AC84-951A78F8B063}"/>
            </c:ext>
          </c:extLst>
        </c:ser>
        <c:ser>
          <c:idx val="4"/>
          <c:order val="4"/>
          <c:tx>
            <c:v>Start MBR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'TOC-TN re-measurement '!$B$115</c:f>
            </c:numRef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C2F-4F6B-AC84-951A78F8B063}"/>
            </c:ext>
          </c:extLst>
        </c:ser>
        <c:ser>
          <c:idx val="5"/>
          <c:order val="5"/>
          <c:tx>
            <c:v>sludges leaked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'TOC-TN re-measurement '!$B$127</c:f>
            </c:numRef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C2F-4F6B-AC84-951A78F8B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7888"/>
        <c:axId val="751273136"/>
        <c:extLst/>
      </c:scatterChart>
      <c:valAx>
        <c:axId val="602022776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  <c:majorUnit val="10"/>
        <c:minorUnit val="5"/>
      </c:valAx>
      <c:valAx>
        <c:axId val="602017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COD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valAx>
        <c:axId val="751273136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Removal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267888"/>
        <c:crosses val="max"/>
        <c:crossBetween val="between"/>
        <c:majorUnit val="20"/>
      </c:valAx>
      <c:catAx>
        <c:axId val="7512678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5127313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44847997973232123"/>
          <c:y val="2.0408060782275517E-2"/>
          <c:w val="0.46436974344175158"/>
          <c:h val="6.16249114930926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'TOC-TN re-measurement '!$B$96:$B$150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'!$P$96:$P$150</c:f>
            </c:numRef>
          </c:yVal>
          <c:smooth val="0"/>
          <c:extLst>
            <c:ext xmlns:c16="http://schemas.microsoft.com/office/drawing/2014/chart" uri="{C3380CC4-5D6E-409C-BE32-E72D297353CC}">
              <c16:uniqueId val="{00000000-BBE5-436C-9B53-78241395C0A6}"/>
            </c:ext>
          </c:extLst>
        </c:ser>
        <c:ser>
          <c:idx val="2"/>
          <c:order val="1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'TOC-TN re-measurement '!$B$96:$B$150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'!$BU$96:$BU$150</c:f>
            </c:numRef>
          </c:yVal>
          <c:smooth val="0"/>
          <c:extLst>
            <c:ext xmlns:c16="http://schemas.microsoft.com/office/drawing/2014/chart" uri="{C3380CC4-5D6E-409C-BE32-E72D297353CC}">
              <c16:uniqueId val="{00000001-BBE5-436C-9B53-78241395C0A6}"/>
            </c:ext>
          </c:extLst>
        </c:ser>
        <c:ser>
          <c:idx val="1"/>
          <c:order val="2"/>
          <c:tx>
            <c:v>S4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'TOC-TN re-measurement '!$B$96:$B$150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'!$DX$96:$DX$150</c:f>
            </c:numRef>
          </c:yVal>
          <c:smooth val="0"/>
          <c:extLst>
            <c:ext xmlns:c16="http://schemas.microsoft.com/office/drawing/2014/chart" uri="{C3380CC4-5D6E-409C-BE32-E72D297353CC}">
              <c16:uniqueId val="{00000002-BBE5-436C-9B53-78241395C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</c:scatterChart>
      <c:scatterChart>
        <c:scatterStyle val="lineMarker"/>
        <c:varyColors val="0"/>
        <c:ser>
          <c:idx val="3"/>
          <c:order val="3"/>
          <c:tx>
            <c:v>Sugar added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16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BE5-436C-9B53-78241395C0A6}"/>
            </c:ext>
          </c:extLst>
        </c:ser>
        <c:ser>
          <c:idx val="4"/>
          <c:order val="4"/>
          <c:tx>
            <c:v>Start MBR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42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BE5-436C-9B53-78241395C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7888"/>
        <c:axId val="751273136"/>
        <c:extLst/>
      </c:scatterChart>
      <c:valAx>
        <c:axId val="60202277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</c:valAx>
      <c:valAx>
        <c:axId val="602017856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PO4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valAx>
        <c:axId val="751273136"/>
        <c:scaling>
          <c:orientation val="minMax"/>
          <c:max val="100"/>
          <c:min val="0"/>
        </c:scaling>
        <c:delete val="1"/>
        <c:axPos val="r"/>
        <c:numFmt formatCode="_(* #,##0_);_(* \(#,##0\);_(* &quot;-&quot;_);_(@_)" sourceLinked="0"/>
        <c:majorTickMark val="out"/>
        <c:minorTickMark val="none"/>
        <c:tickLblPos val="nextTo"/>
        <c:crossAx val="751267888"/>
        <c:crosses val="max"/>
        <c:crossBetween val="midCat"/>
      </c:valAx>
      <c:valAx>
        <c:axId val="75126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27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7141299674829655"/>
          <c:y val="5.7753394345923789E-2"/>
          <c:w val="0.14944021731278814"/>
          <c:h val="0.1242945499660115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'TOC-TN re-measurement '!$B$96:$B$150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'!$Q$96:$Q$150</c:f>
            </c:numRef>
          </c:yVal>
          <c:smooth val="0"/>
          <c:extLst>
            <c:ext xmlns:c16="http://schemas.microsoft.com/office/drawing/2014/chart" uri="{C3380CC4-5D6E-409C-BE32-E72D297353CC}">
              <c16:uniqueId val="{00000000-C6AE-4A0A-9A19-91FB2B829E0D}"/>
            </c:ext>
          </c:extLst>
        </c:ser>
        <c:ser>
          <c:idx val="2"/>
          <c:order val="1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'TOC-TN re-measurement '!$B$96:$B$150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'!$BV$96:$BV$150</c:f>
            </c:numRef>
          </c:yVal>
          <c:smooth val="0"/>
          <c:extLst>
            <c:ext xmlns:c16="http://schemas.microsoft.com/office/drawing/2014/chart" uri="{C3380CC4-5D6E-409C-BE32-E72D297353CC}">
              <c16:uniqueId val="{00000001-C6AE-4A0A-9A19-91FB2B829E0D}"/>
            </c:ext>
          </c:extLst>
        </c:ser>
        <c:ser>
          <c:idx val="1"/>
          <c:order val="2"/>
          <c:tx>
            <c:v>S4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'TOC-TN re-measurement '!$B$96:$B$150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'!$DY$96:$DY$150</c:f>
            </c:numRef>
          </c:yVal>
          <c:smooth val="0"/>
          <c:extLst>
            <c:ext xmlns:c16="http://schemas.microsoft.com/office/drawing/2014/chart" uri="{C3380CC4-5D6E-409C-BE32-E72D297353CC}">
              <c16:uniqueId val="{00000002-C6AE-4A0A-9A19-91FB2B82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</c:scatterChart>
      <c:scatterChart>
        <c:scatterStyle val="lineMarker"/>
        <c:varyColors val="0"/>
        <c:ser>
          <c:idx val="3"/>
          <c:order val="3"/>
          <c:tx>
            <c:v>Sugar added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16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6AE-4A0A-9A19-91FB2B829E0D}"/>
            </c:ext>
          </c:extLst>
        </c:ser>
        <c:ser>
          <c:idx val="4"/>
          <c:order val="4"/>
          <c:tx>
            <c:v>Start MBR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42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6AE-4A0A-9A19-91FB2B82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7888"/>
        <c:axId val="751273136"/>
        <c:extLst/>
      </c:scatterChart>
      <c:valAx>
        <c:axId val="60202277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</c:valAx>
      <c:valAx>
        <c:axId val="60201785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SO4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valAx>
        <c:axId val="751273136"/>
        <c:scaling>
          <c:orientation val="minMax"/>
          <c:max val="100"/>
          <c:min val="0"/>
        </c:scaling>
        <c:delete val="1"/>
        <c:axPos val="r"/>
        <c:numFmt formatCode="_(* #,##0_);_(* \(#,##0\);_(* &quot;-&quot;_);_(@_)" sourceLinked="0"/>
        <c:majorTickMark val="out"/>
        <c:minorTickMark val="none"/>
        <c:tickLblPos val="nextTo"/>
        <c:crossAx val="751267888"/>
        <c:crosses val="max"/>
        <c:crossBetween val="midCat"/>
      </c:valAx>
      <c:valAx>
        <c:axId val="75126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27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7141299674829655"/>
          <c:y val="5.7753394345923789E-2"/>
          <c:w val="0.14944021731278814"/>
          <c:h val="0.1242945499660115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S2 (R² = 0.9537)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'TOC-TN re-measurement '!$B$96:$B$150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'!$CF$96:$CF$150</c:f>
            </c:numRef>
          </c:yVal>
          <c:smooth val="0"/>
          <c:extLst>
            <c:ext xmlns:c16="http://schemas.microsoft.com/office/drawing/2014/chart" uri="{C3380CC4-5D6E-409C-BE32-E72D297353CC}">
              <c16:uniqueId val="{00000000-07A7-4F8F-8567-3E04CA2F569A}"/>
            </c:ext>
          </c:extLst>
        </c:ser>
        <c:ser>
          <c:idx val="6"/>
          <c:order val="1"/>
          <c:tx>
            <c:v>S4 (R² = 0.8556)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'TOC-TN re-measurement '!$B$96:$B$150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'!$EH$96:$EH$150</c:f>
            </c:numRef>
          </c:yVal>
          <c:smooth val="0"/>
          <c:extLst>
            <c:ext xmlns:c16="http://schemas.microsoft.com/office/drawing/2014/chart" uri="{C3380CC4-5D6E-409C-BE32-E72D297353CC}">
              <c16:uniqueId val="{00000001-07A7-4F8F-8567-3E04CA2F5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  <c:extLst/>
      </c:scatterChart>
      <c:scatterChart>
        <c:scatterStyle val="lineMarker"/>
        <c:varyColors val="0"/>
        <c:ser>
          <c:idx val="3"/>
          <c:order val="2"/>
          <c:tx>
            <c:v>Removal MBR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'TOC-TN re-measurement '!$B$96:$B$150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'!$EW$96:$EW$150</c:f>
            </c:numRef>
          </c:yVal>
          <c:smooth val="0"/>
          <c:extLst>
            <c:ext xmlns:c16="http://schemas.microsoft.com/office/drawing/2014/chart" uri="{C3380CC4-5D6E-409C-BE32-E72D297353CC}">
              <c16:uniqueId val="{00000002-07A7-4F8F-8567-3E04CA2F569A}"/>
            </c:ext>
          </c:extLst>
        </c:ser>
        <c:ser>
          <c:idx val="1"/>
          <c:order val="3"/>
          <c:tx>
            <c:v>No add sugar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'TOC-TN re-measurement '!$B$105</c:f>
            </c:numRef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7A7-4F8F-8567-3E04CA2F569A}"/>
            </c:ext>
          </c:extLst>
        </c:ser>
        <c:ser>
          <c:idx val="4"/>
          <c:order val="4"/>
          <c:tx>
            <c:v>Start MBR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'TOC-TN re-measurement '!$B$115</c:f>
            </c:numRef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7A7-4F8F-8567-3E04CA2F569A}"/>
            </c:ext>
          </c:extLst>
        </c:ser>
        <c:ser>
          <c:idx val="5"/>
          <c:order val="5"/>
          <c:tx>
            <c:v>sludges leaked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'TOC-TN re-measurement '!$B$127</c:f>
            </c:numRef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7A7-4F8F-8567-3E04CA2F5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7888"/>
        <c:axId val="751273136"/>
      </c:scatterChart>
      <c:valAx>
        <c:axId val="602022776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  <c:majorUnit val="10"/>
        <c:minorUnit val="5"/>
      </c:valAx>
      <c:valAx>
        <c:axId val="602017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COD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valAx>
        <c:axId val="751273136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Removal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267888"/>
        <c:crosses val="max"/>
        <c:crossBetween val="between"/>
        <c:majorUnit val="20"/>
      </c:valAx>
      <c:catAx>
        <c:axId val="7512678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5127313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4292317355246733"/>
          <c:y val="2.5510075977844399E-2"/>
          <c:w val="0.38323594581341314"/>
          <c:h val="4.886987350417049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S0 (R² = 0.9931)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'TOC-TN re-measurement '!$B$96:$B$150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'!$AA$96:$AA$150</c:f>
            </c:numRef>
          </c:yVal>
          <c:smooth val="0"/>
          <c:extLst>
            <c:ext xmlns:c16="http://schemas.microsoft.com/office/drawing/2014/chart" uri="{C3380CC4-5D6E-409C-BE32-E72D297353CC}">
              <c16:uniqueId val="{00000000-E4C6-47DF-A013-CF8BE3AD8B51}"/>
            </c:ext>
          </c:extLst>
        </c:ser>
        <c:ser>
          <c:idx val="2"/>
          <c:order val="1"/>
          <c:tx>
            <c:v>S2 (R² = 0.9537)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'TOC-TN re-measurement '!$B$96:$B$150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'!$CF$96:$CF$150</c:f>
            </c:numRef>
          </c:yVal>
          <c:smooth val="0"/>
          <c:extLst>
            <c:ext xmlns:c16="http://schemas.microsoft.com/office/drawing/2014/chart" uri="{C3380CC4-5D6E-409C-BE32-E72D297353CC}">
              <c16:uniqueId val="{00000001-E4C6-47DF-A013-CF8BE3AD8B51}"/>
            </c:ext>
          </c:extLst>
        </c:ser>
        <c:ser>
          <c:idx val="6"/>
          <c:order val="2"/>
          <c:tx>
            <c:v>S4 (R² = 0.8556)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'TOC-TN re-measurement '!$B$96:$B$150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'!$EH$96:$EH$150</c:f>
            </c:numRef>
          </c:yVal>
          <c:smooth val="0"/>
          <c:extLst>
            <c:ext xmlns:c16="http://schemas.microsoft.com/office/drawing/2014/chart" uri="{C3380CC4-5D6E-409C-BE32-E72D297353CC}">
              <c16:uniqueId val="{00000002-E4C6-47DF-A013-CF8BE3AD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</c:scatterChart>
      <c:scatterChart>
        <c:scatterStyle val="lineMarker"/>
        <c:varyColors val="0"/>
        <c:ser>
          <c:idx val="3"/>
          <c:order val="3"/>
          <c:tx>
            <c:v>Removal overall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'TOC-TN re-measurement '!$B$96:$B$150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'!$FB$96:$FB$150</c:f>
            </c:numRef>
          </c:yVal>
          <c:smooth val="0"/>
          <c:extLst>
            <c:ext xmlns:c16="http://schemas.microsoft.com/office/drawing/2014/chart" uri="{C3380CC4-5D6E-409C-BE32-E72D297353CC}">
              <c16:uniqueId val="{00000003-E4C6-47DF-A013-CF8BE3AD8B51}"/>
            </c:ext>
          </c:extLst>
        </c:ser>
        <c:ser>
          <c:idx val="1"/>
          <c:order val="4"/>
          <c:tx>
            <c:v>No add sugar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'TOC-TN re-measurement '!$B$105</c:f>
            </c:numRef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4C6-47DF-A013-CF8BE3AD8B51}"/>
            </c:ext>
          </c:extLst>
        </c:ser>
        <c:ser>
          <c:idx val="4"/>
          <c:order val="5"/>
          <c:tx>
            <c:v>Start MBR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'TOC-TN re-measurement '!$B$115</c:f>
            </c:numRef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4C6-47DF-A013-CF8BE3AD8B51}"/>
            </c:ext>
          </c:extLst>
        </c:ser>
        <c:ser>
          <c:idx val="5"/>
          <c:order val="6"/>
          <c:tx>
            <c:v>sludges leaked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'TOC-TN re-measurement '!$B$127</c:f>
            </c:numRef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4C6-47DF-A013-CF8BE3AD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7888"/>
        <c:axId val="751273136"/>
      </c:scatterChart>
      <c:valAx>
        <c:axId val="60202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  <c:majorUnit val="10"/>
        <c:minorUnit val="5"/>
      </c:valAx>
      <c:valAx>
        <c:axId val="602017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COD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valAx>
        <c:axId val="751273136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Removal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267888"/>
        <c:crosses val="max"/>
        <c:crossBetween val="between"/>
        <c:majorUnit val="20"/>
      </c:valAx>
      <c:catAx>
        <c:axId val="7512678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5127313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8.1169630239242549E-2"/>
          <c:y val="2.8084580247147044E-2"/>
          <c:w val="0.75794969614141228"/>
          <c:h val="5.9223135987157387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S0_old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'TOC-TN re-measurement '!$B$145:$B$150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'!$F$145:$F$150</c:f>
              <c:numCache>
                <c:formatCode>_(* #,##0.00_);_(* \(#,##0.00\);_(* "-"??_);_(@_)</c:formatCode>
                <c:ptCount val="6"/>
                <c:pt idx="0">
                  <c:v>148.91352098415612</c:v>
                </c:pt>
                <c:pt idx="1">
                  <c:v>67.956987121833578</c:v>
                </c:pt>
                <c:pt idx="2">
                  <c:v>253.21400685913085</c:v>
                </c:pt>
                <c:pt idx="3">
                  <c:v>230.47344323908135</c:v>
                </c:pt>
                <c:pt idx="4">
                  <c:v>69.944314768329875</c:v>
                </c:pt>
                <c:pt idx="5">
                  <c:v>216.33065858443865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0-4AA5-898E-7A4861549A55}"/>
            </c:ext>
          </c:extLst>
        </c:ser>
        <c:ser>
          <c:idx val="3"/>
          <c:order val="1"/>
          <c:tx>
            <c:v>S0_new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'TOC-TN re-measurement '!$B$145:$B$150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'!$J$145:$J$150</c:f>
              <c:numCache>
                <c:formatCode>_(* #,##0.00_);_(* \(#,##0.00\);_(* "-"??_);_(@_)</c:formatCode>
                <c:ptCount val="6"/>
                <c:pt idx="0">
                  <c:v>81.107711197794046</c:v>
                </c:pt>
                <c:pt idx="1">
                  <c:v>24.359876221692488</c:v>
                </c:pt>
                <c:pt idx="2">
                  <c:v>162.06846582945772</c:v>
                </c:pt>
                <c:pt idx="3">
                  <c:v>93.228397078376631</c:v>
                </c:pt>
                <c:pt idx="4">
                  <c:v>40.56641259637636</c:v>
                </c:pt>
                <c:pt idx="5">
                  <c:v>114.56045368060479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C0-4AA5-898E-7A4861549A55}"/>
            </c:ext>
          </c:extLst>
        </c:ser>
        <c:ser>
          <c:idx val="2"/>
          <c:order val="2"/>
          <c:tx>
            <c:v>S2_old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'TOC-TN re-measurement '!$B$145:$B$150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'!$BK$145:$BK$150</c:f>
              <c:numCache>
                <c:formatCode>_(* #,##0.00_);_(* \(#,##0.00\);_(* "-"??_);_(@_)</c:formatCode>
                <c:ptCount val="6"/>
                <c:pt idx="0">
                  <c:v>-5.2854465943492244</c:v>
                </c:pt>
                <c:pt idx="1">
                  <c:v>-3.294517637059073</c:v>
                </c:pt>
                <c:pt idx="2">
                  <c:v>45.255201178110056</c:v>
                </c:pt>
                <c:pt idx="3">
                  <c:v>23.683496096534867</c:v>
                </c:pt>
                <c:pt idx="4">
                  <c:v>-4.8813105489255406</c:v>
                </c:pt>
                <c:pt idx="5">
                  <c:v>15.054502589456021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0-4AA5-898E-7A4861549A55}"/>
            </c:ext>
          </c:extLst>
        </c:ser>
        <c:ser>
          <c:idx val="4"/>
          <c:order val="3"/>
          <c:tx>
            <c:v>S2_new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'TOC-TN re-measurement '!$B$145:$B$150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'!$BO$145:$BO$150</c:f>
              <c:numCache>
                <c:formatCode>_(* #,##0.00_);_(* \(#,##0.00\);_(* "-"??_);_(@_)</c:formatCode>
                <c:ptCount val="6"/>
                <c:pt idx="0">
                  <c:v>16.249373162313276</c:v>
                </c:pt>
                <c:pt idx="1">
                  <c:v>13.530406176260783</c:v>
                </c:pt>
                <c:pt idx="2">
                  <c:v>23.279222673884107</c:v>
                </c:pt>
                <c:pt idx="3">
                  <c:v>18.071202221902439</c:v>
                </c:pt>
                <c:pt idx="4">
                  <c:v>12.656191322273813</c:v>
                </c:pt>
                <c:pt idx="5">
                  <c:v>18.192316784554436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C0-4AA5-898E-7A4861549A55}"/>
            </c:ext>
          </c:extLst>
        </c:ser>
        <c:ser>
          <c:idx val="1"/>
          <c:order val="4"/>
          <c:tx>
            <c:v>S4_old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'TOC-TN re-measurement '!$B$145:$B$150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'!$DN$145:$DN$150</c:f>
              <c:numCache>
                <c:formatCode>_(* #,##0.00_);_(* \(#,##0.00\);_(* "-"??_);_(@_)</c:formatCode>
                <c:ptCount val="6"/>
                <c:pt idx="0">
                  <c:v>13.841325999818366</c:v>
                </c:pt>
                <c:pt idx="1">
                  <c:v>12.970912936478911</c:v>
                </c:pt>
                <c:pt idx="2">
                  <c:v>10.98397888889987</c:v>
                </c:pt>
                <c:pt idx="3">
                  <c:v>9.6624574129387675</c:v>
                </c:pt>
                <c:pt idx="4">
                  <c:v>10.309848704175586</c:v>
                </c:pt>
                <c:pt idx="5">
                  <c:v>9.9113887763668345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0-4AA5-898E-7A4861549A55}"/>
            </c:ext>
          </c:extLst>
        </c:ser>
        <c:ser>
          <c:idx val="5"/>
          <c:order val="5"/>
          <c:tx>
            <c:v>So_new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'TOC-TN re-measurement '!$B$145:$B$150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'!$DR$145:$DR$150</c:f>
              <c:numCache>
                <c:formatCode>_(* #,##0.00_);_(* \(#,##0.00\);_(* "-"??_);_(@_)</c:formatCode>
                <c:ptCount val="6"/>
                <c:pt idx="0">
                  <c:v>10.894552474451785</c:v>
                </c:pt>
                <c:pt idx="1">
                  <c:v>9.3120290112161399</c:v>
                </c:pt>
                <c:pt idx="2">
                  <c:v>8.4104096175698437</c:v>
                </c:pt>
                <c:pt idx="3">
                  <c:v>7.8834106872187126</c:v>
                </c:pt>
                <c:pt idx="4">
                  <c:v>8.8485864507626673</c:v>
                </c:pt>
                <c:pt idx="5">
                  <c:v>7.8430288975829558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C0-4AA5-898E-7A4861549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</c:scatterChart>
      <c:scatterChart>
        <c:scatterStyle val="lineMarker"/>
        <c:varyColors val="0"/>
        <c:ser>
          <c:idx val="6"/>
          <c:order val="6"/>
          <c:tx>
            <c:v>TOC removal S4/S0 old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tar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'TOC-TN re-measurement '!$B$145:$B$150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'!$FC$145:$FC$150</c:f>
              <c:numCache>
                <c:formatCode>_(* #,##0.00_);_(* \(#,##0.00\);_(* "-"??_);_(@_)</c:formatCode>
                <c:ptCount val="6"/>
                <c:pt idx="0">
                  <c:v>90.705124754057067</c:v>
                </c:pt>
                <c:pt idx="1">
                  <c:v>80.913054733835395</c:v>
                </c:pt>
                <c:pt idx="2">
                  <c:v>95.662175633510472</c:v>
                </c:pt>
                <c:pt idx="3">
                  <c:v>95.807561479907505</c:v>
                </c:pt>
                <c:pt idx="4">
                  <c:v>85.259918925042086</c:v>
                </c:pt>
                <c:pt idx="5">
                  <c:v>95.418407709188287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C0-4AA5-898E-7A4861549A55}"/>
            </c:ext>
          </c:extLst>
        </c:ser>
        <c:ser>
          <c:idx val="7"/>
          <c:order val="7"/>
          <c:tx>
            <c:v>Overall Removal old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plus"/>
            <c:size val="11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'TOC-TN re-measurement '!$B$145:$B$150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'!$FD$145:$FD$150</c:f>
              <c:numCache>
                <c:formatCode>_(* #,##0.00_);_(* \(#,##0.00\);_(* "-"??_);_(@_)</c:formatCode>
                <c:ptCount val="6"/>
                <c:pt idx="0">
                  <c:v>86.567796928847258</c:v>
                </c:pt>
                <c:pt idx="1">
                  <c:v>61.773085682086624</c:v>
                </c:pt>
                <c:pt idx="2">
                  <c:v>94.810582321165427</c:v>
                </c:pt>
                <c:pt idx="3">
                  <c:v>91.543981303688867</c:v>
                </c:pt>
                <c:pt idx="4">
                  <c:v>78.187407058140806</c:v>
                </c:pt>
                <c:pt idx="5">
                  <c:v>93.153807753372405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C0-4AA5-898E-7A4861549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7888"/>
        <c:axId val="751273136"/>
      </c:scatterChart>
      <c:valAx>
        <c:axId val="602022776"/>
        <c:scaling>
          <c:orientation val="minMax"/>
          <c:max val="125"/>
          <c:min val="1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  <c:majorUnit val="10"/>
        <c:minorUnit val="5"/>
      </c:valAx>
      <c:valAx>
        <c:axId val="602017856"/>
        <c:scaling>
          <c:orientation val="minMax"/>
          <c:max val="3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TOC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valAx>
        <c:axId val="751273136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Removal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267888"/>
        <c:crosses val="max"/>
        <c:crossBetween val="midCat"/>
      </c:valAx>
      <c:valAx>
        <c:axId val="7512678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5127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S0_old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'TOC-TN re-measurement '!$B$145:$B$150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'!$E$145:$E$150</c:f>
              <c:numCache>
                <c:formatCode>_(* #,##0.00_);_(* \(#,##0.00\);_(* "-"??_);_(@_)</c:formatCode>
                <c:ptCount val="6"/>
                <c:pt idx="0">
                  <c:v>34.924293179686451</c:v>
                </c:pt>
                <c:pt idx="1">
                  <c:v>26.568007010028236</c:v>
                </c:pt>
                <c:pt idx="2">
                  <c:v>30.049654366663415</c:v>
                </c:pt>
                <c:pt idx="3">
                  <c:v>36.071254745449231</c:v>
                </c:pt>
                <c:pt idx="4">
                  <c:v>26.311207834602826</c:v>
                </c:pt>
                <c:pt idx="5">
                  <c:v>25.440696409140369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9-4603-B4B3-1291FD6E4539}"/>
            </c:ext>
          </c:extLst>
        </c:ser>
        <c:ser>
          <c:idx val="3"/>
          <c:order val="1"/>
          <c:tx>
            <c:v>S0_new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'TOC-TN re-measurement '!$B$145:$B$150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'!$I$145:$I$150</c:f>
              <c:numCache>
                <c:formatCode>_(* #,##0.00_);_(* \(#,##0.00\);_(* "-"??_);_(@_)</c:formatCode>
                <c:ptCount val="6"/>
                <c:pt idx="0">
                  <c:v>50.164687859057828</c:v>
                </c:pt>
                <c:pt idx="1">
                  <c:v>38.582918422060509</c:v>
                </c:pt>
                <c:pt idx="2">
                  <c:v>44.16698582918422</c:v>
                </c:pt>
                <c:pt idx="3">
                  <c:v>51.842206051321334</c:v>
                </c:pt>
                <c:pt idx="4">
                  <c:v>41.937954806587513</c:v>
                </c:pt>
                <c:pt idx="5">
                  <c:v>42.075833014170819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E9-4603-B4B3-1291FD6E4539}"/>
            </c:ext>
          </c:extLst>
        </c:ser>
        <c:ser>
          <c:idx val="2"/>
          <c:order val="2"/>
          <c:tx>
            <c:v>S2_old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'TOC-TN re-measurement '!$B$145:$B$150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'!$BJ$145:$BJ$150</c:f>
              <c:numCache>
                <c:formatCode>_(* #,##0.00_);_(* \(#,##0.00\);_(* "-"??_);_(@_)</c:formatCode>
                <c:ptCount val="6"/>
                <c:pt idx="0">
                  <c:v>26.410290767787746</c:v>
                </c:pt>
                <c:pt idx="1">
                  <c:v>21.415636257423813</c:v>
                </c:pt>
                <c:pt idx="2">
                  <c:v>36.21847921331905</c:v>
                </c:pt>
                <c:pt idx="3">
                  <c:v>35.931081475713029</c:v>
                </c:pt>
                <c:pt idx="4">
                  <c:v>24.047878128400438</c:v>
                </c:pt>
                <c:pt idx="5">
                  <c:v>31.969532100108811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E9-4603-B4B3-1291FD6E4539}"/>
            </c:ext>
          </c:extLst>
        </c:ser>
        <c:ser>
          <c:idx val="4"/>
          <c:order val="3"/>
          <c:tx>
            <c:v>S2_new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'TOC-TN re-measurement '!$B$145:$B$150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'!$BN$145:$BN$150</c:f>
              <c:numCache>
                <c:formatCode>_(* #,##0.00_);_(* \(#,##0.00\);_(* "-"??_);_(@_)</c:formatCode>
                <c:ptCount val="6"/>
                <c:pt idx="0">
                  <c:v>31.746457296055155</c:v>
                </c:pt>
                <c:pt idx="1">
                  <c:v>38.778245882803525</c:v>
                </c:pt>
                <c:pt idx="2">
                  <c:v>45.155112983531218</c:v>
                </c:pt>
                <c:pt idx="3">
                  <c:v>45.965147453083112</c:v>
                </c:pt>
                <c:pt idx="4">
                  <c:v>36.037916507085413</c:v>
                </c:pt>
                <c:pt idx="5">
                  <c:v>44.086556874760625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E9-4603-B4B3-1291FD6E4539}"/>
            </c:ext>
          </c:extLst>
        </c:ser>
        <c:ser>
          <c:idx val="1"/>
          <c:order val="4"/>
          <c:tx>
            <c:v>S4_old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'TOC-TN re-measurement '!$B$145:$B$150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'!$DM$145:$DM$150</c:f>
              <c:numCache>
                <c:formatCode>_(* #,##0.00_);_(* \(#,##0.00\);_(* "-"??_);_(@_)</c:formatCode>
                <c:ptCount val="6"/>
                <c:pt idx="0">
                  <c:v>39.072758944124338</c:v>
                </c:pt>
                <c:pt idx="1">
                  <c:v>66.361600623113603</c:v>
                </c:pt>
                <c:pt idx="2">
                  <c:v>80.84899230844124</c:v>
                </c:pt>
                <c:pt idx="3">
                  <c:v>102.20967584931373</c:v>
                </c:pt>
                <c:pt idx="4">
                  <c:v>65.092491838955397</c:v>
                </c:pt>
                <c:pt idx="5">
                  <c:v>72.208922742110985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E9-4603-B4B3-1291FD6E4539}"/>
            </c:ext>
          </c:extLst>
        </c:ser>
        <c:ser>
          <c:idx val="5"/>
          <c:order val="5"/>
          <c:tx>
            <c:v>So_new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'TOC-TN re-measurement '!$B$145:$B$150</c:f>
              <c:numCache>
                <c:formatCode>0</c:formatCode>
                <c:ptCount val="6"/>
                <c:pt idx="0">
                  <c:v>107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  <c:pt idx="5">
                  <c:v>124</c:v>
                </c:pt>
              </c:numCache>
            </c:numRef>
          </c:xVal>
          <c:yVal>
            <c:numRef>
              <c:f>'TOC-TN re-measurement '!$DQ$145:$DQ$150</c:f>
              <c:numCache>
                <c:formatCode>_(* #,##0.00_);_(* \(#,##0.00\);_(* "-"??_);_(@_)</c:formatCode>
                <c:ptCount val="6"/>
                <c:pt idx="0">
                  <c:v>42.311374952125625</c:v>
                </c:pt>
                <c:pt idx="1">
                  <c:v>61.614324013787822</c:v>
                </c:pt>
                <c:pt idx="2">
                  <c:v>79.48678667177326</c:v>
                </c:pt>
                <c:pt idx="3">
                  <c:v>86.001531980084266</c:v>
                </c:pt>
                <c:pt idx="4">
                  <c:v>64.647644580620451</c:v>
                </c:pt>
                <c:pt idx="5">
                  <c:v>67.043278437380309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E9-4603-B4B3-1291FD6E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</c:scatterChart>
      <c:valAx>
        <c:axId val="602022776"/>
        <c:scaling>
          <c:orientation val="minMax"/>
          <c:max val="125"/>
          <c:min val="1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  <c:majorUnit val="10"/>
        <c:minorUnit val="5"/>
      </c:valAx>
      <c:valAx>
        <c:axId val="60201785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TN_S0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716114379242455E-2"/>
                  <c:y val="-4.03471048266055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'TOC-TN re-measurement '!$E$145:$E$150</c:f>
              <c:numCache>
                <c:formatCode>_(* #,##0.00_);_(* \(#,##0.00\);_(* "-"??_);_(@_)</c:formatCode>
                <c:ptCount val="6"/>
                <c:pt idx="0">
                  <c:v>34.924293179686451</c:v>
                </c:pt>
                <c:pt idx="1">
                  <c:v>26.568007010028236</c:v>
                </c:pt>
                <c:pt idx="2">
                  <c:v>30.049654366663415</c:v>
                </c:pt>
                <c:pt idx="3">
                  <c:v>36.071254745449231</c:v>
                </c:pt>
                <c:pt idx="4">
                  <c:v>26.311207834602826</c:v>
                </c:pt>
                <c:pt idx="5">
                  <c:v>25.440696409140369</c:v>
                </c:pt>
              </c:numCache>
            </c:numRef>
          </c:xVal>
          <c:yVal>
            <c:numRef>
              <c:f>'TOC-TN re-measurement '!$I$145:$I$150</c:f>
              <c:numCache>
                <c:formatCode>_(* #,##0.00_);_(* \(#,##0.00\);_(* "-"??_);_(@_)</c:formatCode>
                <c:ptCount val="6"/>
                <c:pt idx="0">
                  <c:v>50.164687859057828</c:v>
                </c:pt>
                <c:pt idx="1">
                  <c:v>38.582918422060509</c:v>
                </c:pt>
                <c:pt idx="2">
                  <c:v>44.16698582918422</c:v>
                </c:pt>
                <c:pt idx="3">
                  <c:v>51.842206051321334</c:v>
                </c:pt>
                <c:pt idx="4">
                  <c:v>41.937954806587513</c:v>
                </c:pt>
                <c:pt idx="5">
                  <c:v>42.075833014170819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0-4FC4-8883-C3A4F0773798}"/>
            </c:ext>
          </c:extLst>
        </c:ser>
        <c:ser>
          <c:idx val="1"/>
          <c:order val="1"/>
          <c:tx>
            <c:v>TN_S2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430335091787397E-2"/>
                  <c:y val="0.18205008294494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'TOC-TN re-measurement '!$BJ$145:$BJ$150</c:f>
              <c:numCache>
                <c:formatCode>_(* #,##0.00_);_(* \(#,##0.00\);_(* "-"??_);_(@_)</c:formatCode>
                <c:ptCount val="6"/>
                <c:pt idx="0">
                  <c:v>26.410290767787746</c:v>
                </c:pt>
                <c:pt idx="1">
                  <c:v>21.415636257423813</c:v>
                </c:pt>
                <c:pt idx="2">
                  <c:v>36.21847921331905</c:v>
                </c:pt>
                <c:pt idx="3">
                  <c:v>35.931081475713029</c:v>
                </c:pt>
                <c:pt idx="4">
                  <c:v>24.047878128400438</c:v>
                </c:pt>
                <c:pt idx="5">
                  <c:v>31.969532100108811</c:v>
                </c:pt>
              </c:numCache>
            </c:numRef>
          </c:xVal>
          <c:yVal>
            <c:numRef>
              <c:f>'TOC-TN re-measurement '!$BN$145:$BN$150</c:f>
              <c:numCache>
                <c:formatCode>_(* #,##0.00_);_(* \(#,##0.00\);_(* "-"??_);_(@_)</c:formatCode>
                <c:ptCount val="6"/>
                <c:pt idx="0">
                  <c:v>31.746457296055155</c:v>
                </c:pt>
                <c:pt idx="1">
                  <c:v>38.778245882803525</c:v>
                </c:pt>
                <c:pt idx="2">
                  <c:v>45.155112983531218</c:v>
                </c:pt>
                <c:pt idx="3">
                  <c:v>45.965147453083112</c:v>
                </c:pt>
                <c:pt idx="4">
                  <c:v>36.037916507085413</c:v>
                </c:pt>
                <c:pt idx="5">
                  <c:v>44.086556874760625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0-4FC4-8883-C3A4F0773798}"/>
            </c:ext>
          </c:extLst>
        </c:ser>
        <c:ser>
          <c:idx val="2"/>
          <c:order val="2"/>
          <c:tx>
            <c:v>TN_S4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902416590708114E-2"/>
                  <c:y val="3.42303499486531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'TOC-TN re-measurement '!$DM$145:$DM$150</c:f>
              <c:numCache>
                <c:formatCode>_(* #,##0.00_);_(* \(#,##0.00\);_(* "-"??_);_(@_)</c:formatCode>
                <c:ptCount val="6"/>
                <c:pt idx="0">
                  <c:v>39.072758944124338</c:v>
                </c:pt>
                <c:pt idx="1">
                  <c:v>66.361600623113603</c:v>
                </c:pt>
                <c:pt idx="2">
                  <c:v>80.84899230844124</c:v>
                </c:pt>
                <c:pt idx="3">
                  <c:v>102.20967584931373</c:v>
                </c:pt>
                <c:pt idx="4">
                  <c:v>65.092491838955397</c:v>
                </c:pt>
                <c:pt idx="5">
                  <c:v>72.208922742110985</c:v>
                </c:pt>
              </c:numCache>
            </c:numRef>
          </c:xVal>
          <c:yVal>
            <c:numRef>
              <c:f>'TOC-TN re-measurement '!$DQ$145:$DQ$150</c:f>
              <c:numCache>
                <c:formatCode>_(* #,##0.00_);_(* \(#,##0.00\);_(* "-"??_);_(@_)</c:formatCode>
                <c:ptCount val="6"/>
                <c:pt idx="0">
                  <c:v>42.311374952125625</c:v>
                </c:pt>
                <c:pt idx="1">
                  <c:v>61.614324013787822</c:v>
                </c:pt>
                <c:pt idx="2">
                  <c:v>79.48678667177326</c:v>
                </c:pt>
                <c:pt idx="3">
                  <c:v>86.001531980084266</c:v>
                </c:pt>
                <c:pt idx="4">
                  <c:v>64.647644580620451</c:v>
                </c:pt>
                <c:pt idx="5">
                  <c:v>67.043278437380309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90-4FC4-8883-C3A4F0773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810896"/>
        <c:axId val="1083812536"/>
      </c:scatterChart>
      <c:valAx>
        <c:axId val="10838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TN 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3812536"/>
        <c:crosses val="autoZero"/>
        <c:crossBetween val="midCat"/>
      </c:valAx>
      <c:valAx>
        <c:axId val="108381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TN new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38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TOC_S0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716114379242455E-2"/>
                  <c:y val="-4.03471048266055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'TOC-TN re-measurement '!$F$145:$F$150</c:f>
              <c:numCache>
                <c:formatCode>_(* #,##0.00_);_(* \(#,##0.00\);_(* "-"??_);_(@_)</c:formatCode>
                <c:ptCount val="6"/>
                <c:pt idx="0">
                  <c:v>148.91352098415612</c:v>
                </c:pt>
                <c:pt idx="1">
                  <c:v>67.956987121833578</c:v>
                </c:pt>
                <c:pt idx="2">
                  <c:v>253.21400685913085</c:v>
                </c:pt>
                <c:pt idx="3">
                  <c:v>230.47344323908135</c:v>
                </c:pt>
                <c:pt idx="4">
                  <c:v>69.944314768329875</c:v>
                </c:pt>
                <c:pt idx="5">
                  <c:v>216.33065858443865</c:v>
                </c:pt>
              </c:numCache>
            </c:numRef>
          </c:xVal>
          <c:yVal>
            <c:numRef>
              <c:f>'TOC-TN re-measurement '!$J$145:$J$150</c:f>
              <c:numCache>
                <c:formatCode>_(* #,##0.00_);_(* \(#,##0.00\);_(* "-"??_);_(@_)</c:formatCode>
                <c:ptCount val="6"/>
                <c:pt idx="0">
                  <c:v>81.107711197794046</c:v>
                </c:pt>
                <c:pt idx="1">
                  <c:v>24.359876221692488</c:v>
                </c:pt>
                <c:pt idx="2">
                  <c:v>162.06846582945772</c:v>
                </c:pt>
                <c:pt idx="3">
                  <c:v>93.228397078376631</c:v>
                </c:pt>
                <c:pt idx="4">
                  <c:v>40.56641259637636</c:v>
                </c:pt>
                <c:pt idx="5">
                  <c:v>114.56045368060479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89-4C93-9B58-AB7378636C73}"/>
            </c:ext>
          </c:extLst>
        </c:ser>
        <c:ser>
          <c:idx val="1"/>
          <c:order val="1"/>
          <c:tx>
            <c:v>TOC_S2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315905056154545E-2"/>
                  <c:y val="-5.04663875503594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'TOC-TN re-measurement '!$BK$145:$BK$150</c:f>
              <c:numCache>
                <c:formatCode>_(* #,##0.00_);_(* \(#,##0.00\);_(* "-"??_);_(@_)</c:formatCode>
                <c:ptCount val="6"/>
                <c:pt idx="0">
                  <c:v>-5.2854465943492244</c:v>
                </c:pt>
                <c:pt idx="1">
                  <c:v>-3.294517637059073</c:v>
                </c:pt>
                <c:pt idx="2">
                  <c:v>45.255201178110056</c:v>
                </c:pt>
                <c:pt idx="3">
                  <c:v>23.683496096534867</c:v>
                </c:pt>
                <c:pt idx="4">
                  <c:v>-4.8813105489255406</c:v>
                </c:pt>
                <c:pt idx="5">
                  <c:v>15.054502589456021</c:v>
                </c:pt>
              </c:numCache>
            </c:numRef>
          </c:xVal>
          <c:yVal>
            <c:numRef>
              <c:f>'TOC-TN re-measurement '!$BO$145:$BO$150</c:f>
              <c:numCache>
                <c:formatCode>_(* #,##0.00_);_(* \(#,##0.00\);_(* "-"??_);_(@_)</c:formatCode>
                <c:ptCount val="6"/>
                <c:pt idx="0">
                  <c:v>16.249373162313276</c:v>
                </c:pt>
                <c:pt idx="1">
                  <c:v>13.530406176260783</c:v>
                </c:pt>
                <c:pt idx="2">
                  <c:v>23.279222673884107</c:v>
                </c:pt>
                <c:pt idx="3">
                  <c:v>18.071202221902439</c:v>
                </c:pt>
                <c:pt idx="4">
                  <c:v>12.656191322273813</c:v>
                </c:pt>
                <c:pt idx="5">
                  <c:v>18.192316784554436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89-4C93-9B58-AB7378636C73}"/>
            </c:ext>
          </c:extLst>
        </c:ser>
        <c:ser>
          <c:idx val="2"/>
          <c:order val="2"/>
          <c:tx>
            <c:v>TOC_S4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59689406636424"/>
                  <c:y val="1.03463148747926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'TOC-TN re-measurement '!$DN$145:$DN$150</c:f>
              <c:numCache>
                <c:formatCode>_(* #,##0.00_);_(* \(#,##0.00\);_(* "-"??_);_(@_)</c:formatCode>
                <c:ptCount val="6"/>
                <c:pt idx="0">
                  <c:v>13.841325999818366</c:v>
                </c:pt>
                <c:pt idx="1">
                  <c:v>12.970912936478911</c:v>
                </c:pt>
                <c:pt idx="2">
                  <c:v>10.98397888889987</c:v>
                </c:pt>
                <c:pt idx="3">
                  <c:v>9.6624574129387675</c:v>
                </c:pt>
                <c:pt idx="4">
                  <c:v>10.309848704175586</c:v>
                </c:pt>
                <c:pt idx="5">
                  <c:v>9.9113887763668345</c:v>
                </c:pt>
              </c:numCache>
            </c:numRef>
          </c:xVal>
          <c:yVal>
            <c:numRef>
              <c:f>'TOC-TN re-measurement '!$DR$145:$DR$150</c:f>
              <c:numCache>
                <c:formatCode>_(* #,##0.00_);_(* \(#,##0.00\);_(* "-"??_);_(@_)</c:formatCode>
                <c:ptCount val="6"/>
                <c:pt idx="0">
                  <c:v>10.894552474451785</c:v>
                </c:pt>
                <c:pt idx="1">
                  <c:v>9.3120290112161399</c:v>
                </c:pt>
                <c:pt idx="2">
                  <c:v>8.4104096175698437</c:v>
                </c:pt>
                <c:pt idx="3">
                  <c:v>7.8834106872187126</c:v>
                </c:pt>
                <c:pt idx="4">
                  <c:v>8.8485864507626673</c:v>
                </c:pt>
                <c:pt idx="5">
                  <c:v>7.8430288975829558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89-4C93-9B58-AB737863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810896"/>
        <c:axId val="1083812536"/>
      </c:scatterChart>
      <c:valAx>
        <c:axId val="10838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TOC 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3812536"/>
        <c:crosses val="autoZero"/>
        <c:crossBetween val="midCat"/>
      </c:valAx>
      <c:valAx>
        <c:axId val="108381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TOC new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38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ICP method - liq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'PO4'!$A$7:$A$11</c:f>
              <c:strCache>
                <c:ptCount val="5"/>
                <c:pt idx="0">
                  <c:v>S0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</c:strCache>
            </c:strRef>
          </c:cat>
          <c:val>
            <c:numRef>
              <c:f>('PO4'!$D$3,'PO4'!$H$3,'PO4'!$L$3,'PO4'!$P$3,'PO4'!$T$3)</c:f>
              <c:numCache>
                <c:formatCode>_(* #,##0.00_);_(* \(#,##0.00\);_(* "-"??_);_(@_)</c:formatCode>
                <c:ptCount val="5"/>
                <c:pt idx="0">
                  <c:v>4.1792855959358297</c:v>
                </c:pt>
                <c:pt idx="1">
                  <c:v>6.3911979960194802</c:v>
                </c:pt>
                <c:pt idx="2">
                  <c:v>6.7598500627000808</c:v>
                </c:pt>
                <c:pt idx="3">
                  <c:v>5.7755490446628599</c:v>
                </c:pt>
                <c:pt idx="4">
                  <c:v>6.0225459293388708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7-40AC-92C9-E65A92906217}"/>
            </c:ext>
          </c:extLst>
        </c:ser>
        <c:ser>
          <c:idx val="2"/>
          <c:order val="2"/>
          <c:tx>
            <c:v>ICP method - sol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'PO4'!$A$7:$A$11</c:f>
              <c:strCache>
                <c:ptCount val="5"/>
                <c:pt idx="0">
                  <c:v>S0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</c:strCache>
            </c:strRef>
          </c:cat>
          <c:val>
            <c:numRef>
              <c:f>('PO4'!$E$3,'PO4'!$I$3,'PO4'!$M$3,'PO4'!$Q$3)</c:f>
              <c:numCache>
                <c:formatCode>_(* #,##0.00_);_(* \(#,##0.00\);_(* "-"??_);_(@_)</c:formatCode>
                <c:ptCount val="4"/>
                <c:pt idx="0">
                  <c:v>5.0382449113016401</c:v>
                </c:pt>
                <c:pt idx="1">
                  <c:v>55.786888410554198</c:v>
                </c:pt>
                <c:pt idx="2">
                  <c:v>11.0620196808628</c:v>
                </c:pt>
                <c:pt idx="3">
                  <c:v>337.69143728054803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7-40AC-92C9-E65A92906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977160"/>
        <c:axId val="649977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IC method - liq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'PO4'!$A$7:$A$11</c15:sqref>
                        </c15:formulaRef>
                      </c:ext>
                    </c:extLst>
                    <c:strCache>
                      <c:ptCount val="5"/>
                      <c:pt idx="0">
                        <c:v>S0</c:v>
                      </c:pt>
                      <c:pt idx="1">
                        <c:v>S1</c:v>
                      </c:pt>
                      <c:pt idx="2">
                        <c:v>S2</c:v>
                      </c:pt>
                      <c:pt idx="3">
                        <c:v>S3</c:v>
                      </c:pt>
                      <c:pt idx="4">
                        <c:v>S4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('PO4'!$C$3,'PO4'!$G$3,'PO4'!$K$3,'PO4'!$O$3,'PO4'!$S$3)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>
                        <c:v>3.9867631578947371</c:v>
                      </c:pt>
                      <c:pt idx="1">
                        <c:v>8.4317063157894729</c:v>
                      </c:pt>
                      <c:pt idx="2">
                        <c:v>8.4864294736842094</c:v>
                      </c:pt>
                      <c:pt idx="3">
                        <c:v>6.7747073684210521</c:v>
                      </c:pt>
                      <c:pt idx="4">
                        <c:v>6.53776947368421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97-40AC-92C9-E65A92906217}"/>
                  </c:ext>
                </c:extLst>
              </c15:ser>
            </c15:filteredBarSeries>
          </c:ext>
        </c:extLst>
      </c:barChart>
      <c:catAx>
        <c:axId val="64997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9977488"/>
        <c:crosses val="autoZero"/>
        <c:auto val="1"/>
        <c:lblAlgn val="ctr"/>
        <c:lblOffset val="100"/>
        <c:noMultiLvlLbl val="0"/>
      </c:catAx>
      <c:valAx>
        <c:axId val="6499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997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75365266841644"/>
          <c:y val="0.12329063453586717"/>
          <c:w val="0.27675371828521433"/>
          <c:h val="0.177503698069707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'TOC-IC-pH'!$B$97:$B$109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26</c:v>
                </c:pt>
              </c:numCache>
            </c:numRef>
          </c:xVal>
          <c:yVal>
            <c:numRef>
              <c:f>'TOC-IC-pH'!$C$97:$C$109</c:f>
              <c:numCache>
                <c:formatCode>_(* #,##0.00_);_(* \(#,##0.00\);_(* "-"??_);_(@_)</c:formatCode>
                <c:ptCount val="13"/>
                <c:pt idx="0">
                  <c:v>329.84265268023825</c:v>
                </c:pt>
                <c:pt idx="1">
                  <c:v>320.02844697306421</c:v>
                </c:pt>
                <c:pt idx="2">
                  <c:v>306.97674418604657</c:v>
                </c:pt>
                <c:pt idx="3">
                  <c:v>282.69547701886103</c:v>
                </c:pt>
                <c:pt idx="4">
                  <c:v>252.48123054385644</c:v>
                </c:pt>
                <c:pt idx="5">
                  <c:v>346.81564245810051</c:v>
                </c:pt>
                <c:pt idx="6">
                  <c:v>312.40223463687153</c:v>
                </c:pt>
                <c:pt idx="7">
                  <c:v>363.36169805908787</c:v>
                </c:pt>
                <c:pt idx="8">
                  <c:v>267.5590400611913</c:v>
                </c:pt>
                <c:pt idx="9">
                  <c:v>130.8929889298893</c:v>
                </c:pt>
                <c:pt idx="10">
                  <c:v>121.0450184501845</c:v>
                </c:pt>
                <c:pt idx="11">
                  <c:v>120.87253301676805</c:v>
                </c:pt>
                <c:pt idx="12">
                  <c:v>143.09541474996288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C8-4AD1-AAAC-00BBBE2D4A71}"/>
            </c:ext>
          </c:extLst>
        </c:ser>
        <c:ser>
          <c:idx val="2"/>
          <c:order val="1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'TOC-IC-pH'!$B$97:$B$109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26</c:v>
                </c:pt>
              </c:numCache>
            </c:numRef>
          </c:xVal>
          <c:yVal>
            <c:numRef>
              <c:f>'TOC-IC-pH'!$BD$97:$BD$109</c:f>
              <c:numCache>
                <c:formatCode>_(* #,##0.00_);_(* \(#,##0.00\);_(* "-"??_);_(@_)</c:formatCode>
                <c:ptCount val="13"/>
                <c:pt idx="1">
                  <c:v>206.20499599964435</c:v>
                </c:pt>
                <c:pt idx="2">
                  <c:v>182.6588536898004</c:v>
                </c:pt>
                <c:pt idx="3">
                  <c:v>135.24995422083867</c:v>
                </c:pt>
                <c:pt idx="4">
                  <c:v>138.76579381065741</c:v>
                </c:pt>
                <c:pt idx="5">
                  <c:v>146.14525139664804</c:v>
                </c:pt>
                <c:pt idx="6">
                  <c:v>164.02234636871509</c:v>
                </c:pt>
                <c:pt idx="7">
                  <c:v>133.60741944736588</c:v>
                </c:pt>
                <c:pt idx="8">
                  <c:v>130.33750836600058</c:v>
                </c:pt>
                <c:pt idx="9">
                  <c:v>81.298892988929893</c:v>
                </c:pt>
                <c:pt idx="10">
                  <c:v>89.836162361623622</c:v>
                </c:pt>
                <c:pt idx="11">
                  <c:v>82.267398723846284</c:v>
                </c:pt>
                <c:pt idx="12">
                  <c:v>110.75827274076273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C8-4AD1-AAAC-00BBBE2D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</c:scatterChart>
      <c:scatterChart>
        <c:scatterStyle val="lineMarker"/>
        <c:varyColors val="0"/>
        <c:ser>
          <c:idx val="3"/>
          <c:order val="2"/>
          <c:tx>
            <c:v>Removal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'TOC-IC-pH'!$B$97:$B$109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26</c:v>
                </c:pt>
              </c:numCache>
            </c:numRef>
          </c:xVal>
          <c:yVal>
            <c:numRef>
              <c:f>'TOC-IC-pH'!$EB$97:$EB$109</c:f>
              <c:numCache>
                <c:formatCode>_(* #,##0.00_);_(* \(#,##0.00\);_(* "-"??_);_(@_)</c:formatCode>
                <c:ptCount val="13"/>
                <c:pt idx="1">
                  <c:v>35.566666666666677</c:v>
                </c:pt>
                <c:pt idx="2">
                  <c:v>40.497494631352914</c:v>
                </c:pt>
                <c:pt idx="3">
                  <c:v>52.157015157403805</c:v>
                </c:pt>
                <c:pt idx="4">
                  <c:v>45.039164490861609</c:v>
                </c:pt>
                <c:pt idx="5">
                  <c:v>57.860824742268036</c:v>
                </c:pt>
                <c:pt idx="6">
                  <c:v>47.4964234620887</c:v>
                </c:pt>
                <c:pt idx="7">
                  <c:v>63.230186296179355</c:v>
                </c:pt>
                <c:pt idx="8">
                  <c:v>51.286449399656945</c:v>
                </c:pt>
                <c:pt idx="9">
                  <c:v>37.889039242219212</c:v>
                </c:pt>
                <c:pt idx="10">
                  <c:v>25.782850453614277</c:v>
                </c:pt>
                <c:pt idx="11">
                  <c:v>31.938715380082471</c:v>
                </c:pt>
                <c:pt idx="12">
                  <c:v>22.598307615729201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C8-4AD1-AAAC-00BBBE2D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7888"/>
        <c:axId val="751273136"/>
      </c:scatterChart>
      <c:valAx>
        <c:axId val="60202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</c:valAx>
      <c:valAx>
        <c:axId val="602017856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valAx>
        <c:axId val="751273136"/>
        <c:scaling>
          <c:orientation val="minMax"/>
          <c:max val="7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Removal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267888"/>
        <c:crosses val="max"/>
        <c:crossBetween val="midCat"/>
      </c:valAx>
      <c:valAx>
        <c:axId val="7512678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5127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07334962663436"/>
          <c:y val="5.6316819469041053E-2"/>
          <c:w val="0.15324508246340998"/>
          <c:h val="9.9630807810199853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ICP method - liq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'PO4'!$A$7:$A$11</c:f>
              <c:strCache>
                <c:ptCount val="5"/>
                <c:pt idx="0">
                  <c:v>S0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</c:strCache>
            </c:strRef>
          </c:cat>
          <c:val>
            <c:numRef>
              <c:f>('PO4'!$D$3,'PO4'!$H$3,'PO4'!$L$3,'PO4'!$P$3,'PO4'!$T$3)</c:f>
              <c:numCache>
                <c:formatCode>_(* #,##0.00_);_(* \(#,##0.00\);_(* "-"??_);_(@_)</c:formatCode>
                <c:ptCount val="5"/>
                <c:pt idx="0">
                  <c:v>4.1792855959358297</c:v>
                </c:pt>
                <c:pt idx="1">
                  <c:v>6.3911979960194802</c:v>
                </c:pt>
                <c:pt idx="2">
                  <c:v>6.7598500627000808</c:v>
                </c:pt>
                <c:pt idx="3">
                  <c:v>5.7755490446628599</c:v>
                </c:pt>
                <c:pt idx="4">
                  <c:v>6.0225459293388708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3-4B3C-8815-11BC3263C820}"/>
            </c:ext>
          </c:extLst>
        </c:ser>
        <c:ser>
          <c:idx val="2"/>
          <c:order val="2"/>
          <c:tx>
            <c:v>ICP method - sol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'PO4'!$A$7:$A$11</c:f>
              <c:strCache>
                <c:ptCount val="5"/>
                <c:pt idx="0">
                  <c:v>S0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</c:strCache>
            </c:strRef>
          </c:cat>
          <c:val>
            <c:numRef>
              <c:f>('PO4'!$E$3,'PO4'!$I$3,'PO4'!$M$3,'PO4'!$Q$3)</c:f>
              <c:numCache>
                <c:formatCode>_(* #,##0.00_);_(* \(#,##0.00\);_(* "-"??_);_(@_)</c:formatCode>
                <c:ptCount val="4"/>
                <c:pt idx="0">
                  <c:v>5.0382449113016401</c:v>
                </c:pt>
                <c:pt idx="1">
                  <c:v>55.786888410554198</c:v>
                </c:pt>
                <c:pt idx="2">
                  <c:v>11.0620196808628</c:v>
                </c:pt>
                <c:pt idx="3">
                  <c:v>337.69143728054803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3-4B3C-8815-11BC3263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977160"/>
        <c:axId val="649977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IC method - liq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'PO4'!$A$7:$A$11</c15:sqref>
                        </c15:formulaRef>
                      </c:ext>
                    </c:extLst>
                    <c:strCache>
                      <c:ptCount val="5"/>
                      <c:pt idx="0">
                        <c:v>S0</c:v>
                      </c:pt>
                      <c:pt idx="1">
                        <c:v>S1</c:v>
                      </c:pt>
                      <c:pt idx="2">
                        <c:v>S2</c:v>
                      </c:pt>
                      <c:pt idx="3">
                        <c:v>S3</c:v>
                      </c:pt>
                      <c:pt idx="4">
                        <c:v>S4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('PO4'!$C$3,'PO4'!$G$3,'PO4'!$K$3,'PO4'!$O$3,'PO4'!$S$3)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>
                        <c:v>3.9867631578947371</c:v>
                      </c:pt>
                      <c:pt idx="1">
                        <c:v>8.4317063157894729</c:v>
                      </c:pt>
                      <c:pt idx="2">
                        <c:v>8.4864294736842094</c:v>
                      </c:pt>
                      <c:pt idx="3">
                        <c:v>6.7747073684210521</c:v>
                      </c:pt>
                      <c:pt idx="4">
                        <c:v>6.53776947368421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B3-4B3C-8815-11BC3263C820}"/>
                  </c:ext>
                </c:extLst>
              </c15:ser>
            </c15:filteredBarSeries>
          </c:ext>
        </c:extLst>
      </c:barChart>
      <c:catAx>
        <c:axId val="64997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9977488"/>
        <c:crosses val="autoZero"/>
        <c:auto val="1"/>
        <c:lblAlgn val="ctr"/>
        <c:lblOffset val="100"/>
        <c:noMultiLvlLbl val="0"/>
      </c:catAx>
      <c:valAx>
        <c:axId val="6499774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997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08698600174978"/>
          <c:y val="7.2293831838474987E-2"/>
          <c:w val="0.27675371828521433"/>
          <c:h val="0.266255547104561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IC method - liq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'PO4'!$A$7:$A$11</c:f>
              <c:strCache>
                <c:ptCount val="5"/>
                <c:pt idx="0">
                  <c:v>S0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</c:strCache>
            </c:strRef>
          </c:cat>
          <c:val>
            <c:numRef>
              <c:f>('PO4'!$C$3,'PO4'!$G$3,'PO4'!$K$3,'PO4'!$O$3,'PO4'!$S$3)</c:f>
              <c:numCache>
                <c:formatCode>_(* #,##0.00_);_(* \(#,##0.00\);_(* "-"??_);_(@_)</c:formatCode>
                <c:ptCount val="5"/>
                <c:pt idx="0">
                  <c:v>3.9867631578947371</c:v>
                </c:pt>
                <c:pt idx="1">
                  <c:v>8.4317063157894729</c:v>
                </c:pt>
                <c:pt idx="2">
                  <c:v>8.4864294736842094</c:v>
                </c:pt>
                <c:pt idx="3">
                  <c:v>6.7747073684210521</c:v>
                </c:pt>
                <c:pt idx="4">
                  <c:v>6.53776947368421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7-40AC-92C9-E65A92906217}"/>
            </c:ext>
          </c:extLst>
        </c:ser>
        <c:ser>
          <c:idx val="1"/>
          <c:order val="1"/>
          <c:tx>
            <c:v>ICP method - liq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'PO4'!$A$7:$A$11</c:f>
              <c:strCache>
                <c:ptCount val="5"/>
                <c:pt idx="0">
                  <c:v>S0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</c:strCache>
            </c:strRef>
          </c:cat>
          <c:val>
            <c:numRef>
              <c:f>('PO4'!$D$3,'PO4'!$H$3,'PO4'!$L$3,'PO4'!$P$3,'PO4'!$T$3)</c:f>
              <c:numCache>
                <c:formatCode>_(* #,##0.00_);_(* \(#,##0.00\);_(* "-"??_);_(@_)</c:formatCode>
                <c:ptCount val="5"/>
                <c:pt idx="0">
                  <c:v>4.1792855959358297</c:v>
                </c:pt>
                <c:pt idx="1">
                  <c:v>6.3911979960194802</c:v>
                </c:pt>
                <c:pt idx="2">
                  <c:v>6.7598500627000808</c:v>
                </c:pt>
                <c:pt idx="3">
                  <c:v>5.7755490446628599</c:v>
                </c:pt>
                <c:pt idx="4">
                  <c:v>6.0225459293388708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7-40AC-92C9-E65A92906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977160"/>
        <c:axId val="6499774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ICP method - sol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'PO4'!$A$7:$A$11</c15:sqref>
                        </c15:formulaRef>
                      </c:ext>
                    </c:extLst>
                    <c:strCache>
                      <c:ptCount val="5"/>
                      <c:pt idx="0">
                        <c:v>S0</c:v>
                      </c:pt>
                      <c:pt idx="1">
                        <c:v>S1</c:v>
                      </c:pt>
                      <c:pt idx="2">
                        <c:v>S2</c:v>
                      </c:pt>
                      <c:pt idx="3">
                        <c:v>S3</c:v>
                      </c:pt>
                      <c:pt idx="4">
                        <c:v>S4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('PO4'!$E$3,'PO4'!$I$3,'PO4'!$M$3,'PO4'!$Q$3)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4"/>
                      <c:pt idx="0">
                        <c:v>5.0382449113016401</c:v>
                      </c:pt>
                      <c:pt idx="1">
                        <c:v>55.786888410554198</c:v>
                      </c:pt>
                      <c:pt idx="2">
                        <c:v>11.0620196808628</c:v>
                      </c:pt>
                      <c:pt idx="3">
                        <c:v>337.69143728054803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597-40AC-92C9-E65A92906217}"/>
                  </c:ext>
                </c:extLst>
              </c15:ser>
            </c15:filteredBarSeries>
          </c:ext>
        </c:extLst>
      </c:barChart>
      <c:catAx>
        <c:axId val="64997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9977488"/>
        <c:crosses val="autoZero"/>
        <c:auto val="1"/>
        <c:lblAlgn val="ctr"/>
        <c:lblOffset val="100"/>
        <c:noMultiLvlLbl val="0"/>
      </c:catAx>
      <c:valAx>
        <c:axId val="6499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997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2536526684164483E-2"/>
          <c:y val="1.6883142903459065E-2"/>
          <c:w val="0.27675371828521428"/>
          <c:h val="0.164474218654659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'TOC-IC-pH'!$B$97:$B$109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26</c:v>
                </c:pt>
              </c:numCache>
            </c:numRef>
          </c:xVal>
          <c:yVal>
            <c:numRef>
              <c:f>'TOC-IC-pH'!$D$97:$D$109</c:f>
              <c:numCache>
                <c:formatCode>_(* #,##0.00_);_(* \(#,##0.00\);_(* "-"??_);_(@_)</c:formatCode>
                <c:ptCount val="13"/>
                <c:pt idx="0">
                  <c:v>21.035929514074301</c:v>
                </c:pt>
                <c:pt idx="1">
                  <c:v>26.940270043481579</c:v>
                </c:pt>
                <c:pt idx="2">
                  <c:v>48.90122600046265</c:v>
                </c:pt>
                <c:pt idx="3">
                  <c:v>19.181124219292162</c:v>
                </c:pt>
                <c:pt idx="4">
                  <c:v>31.237566504742077</c:v>
                </c:pt>
                <c:pt idx="5">
                  <c:v>50.55307348636574</c:v>
                </c:pt>
                <c:pt idx="6">
                  <c:v>18.274533970112465</c:v>
                </c:pt>
                <c:pt idx="7">
                  <c:v>21.63066202090592</c:v>
                </c:pt>
                <c:pt idx="8">
                  <c:v>20.246225319396046</c:v>
                </c:pt>
                <c:pt idx="9">
                  <c:v>64.255069745633563</c:v>
                </c:pt>
                <c:pt idx="10">
                  <c:v>53.508381197983823</c:v>
                </c:pt>
                <c:pt idx="11">
                  <c:v>67.870669745958438</c:v>
                </c:pt>
                <c:pt idx="12">
                  <c:v>47.778290993071593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D-41FC-990D-1AD0720495D6}"/>
            </c:ext>
          </c:extLst>
        </c:ser>
        <c:ser>
          <c:idx val="2"/>
          <c:order val="1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'TOC-IC-pH'!$B$97:$B$109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26</c:v>
                </c:pt>
              </c:numCache>
            </c:numRef>
          </c:xVal>
          <c:yVal>
            <c:numRef>
              <c:f>'TOC-IC-pH'!$BE$97:$BE$109</c:f>
              <c:numCache>
                <c:formatCode>_(* #,##0.00_);_(* \(#,##0.00\);_(* "-"??_);_(@_)</c:formatCode>
                <c:ptCount val="13"/>
                <c:pt idx="1">
                  <c:v>142.07033335876116</c:v>
                </c:pt>
                <c:pt idx="2">
                  <c:v>108.48947490168865</c:v>
                </c:pt>
                <c:pt idx="3">
                  <c:v>99.606754568586652</c:v>
                </c:pt>
                <c:pt idx="4">
                  <c:v>107.74924820726348</c:v>
                </c:pt>
                <c:pt idx="5">
                  <c:v>120.35125558465566</c:v>
                </c:pt>
                <c:pt idx="6">
                  <c:v>114.85133261438916</c:v>
                </c:pt>
                <c:pt idx="7">
                  <c:v>137.51451800232286</c:v>
                </c:pt>
                <c:pt idx="8">
                  <c:v>119.30313588850174</c:v>
                </c:pt>
                <c:pt idx="9">
                  <c:v>101.53088735201032</c:v>
                </c:pt>
                <c:pt idx="10">
                  <c:v>103.07818544133161</c:v>
                </c:pt>
                <c:pt idx="11">
                  <c:v>97.330254041570441</c:v>
                </c:pt>
                <c:pt idx="12">
                  <c:v>131.72286374133949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D-41FC-990D-1AD072049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</c:scatterChart>
      <c:scatterChart>
        <c:scatterStyle val="lineMarker"/>
        <c:varyColors val="0"/>
        <c:ser>
          <c:idx val="3"/>
          <c:order val="2"/>
          <c:tx>
            <c:v>Removal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'TOC-IC-pH'!$B$97:$B$109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26</c:v>
                </c:pt>
              </c:numCache>
            </c:numRef>
          </c:xVal>
          <c:yVal>
            <c:numRef>
              <c:f>'TOC-IC-pH'!$EC$97:$EC$109</c:f>
              <c:numCache>
                <c:formatCode>_(* #,##0.00_);_(* \(#,##0.00\);_(* "-"??_);_(@_)</c:formatCode>
                <c:ptCount val="13"/>
                <c:pt idx="1">
                  <c:v>-427.35304111450904</c:v>
                </c:pt>
                <c:pt idx="2">
                  <c:v>-121.85430463576157</c:v>
                </c:pt>
                <c:pt idx="3">
                  <c:v>-419.29570670525811</c:v>
                </c:pt>
                <c:pt idx="4">
                  <c:v>-244.93483412322274</c:v>
                </c:pt>
                <c:pt idx="5">
                  <c:v>-138.06911684037294</c:v>
                </c:pt>
                <c:pt idx="6">
                  <c:v>-528.47749114820431</c:v>
                </c:pt>
                <c:pt idx="7">
                  <c:v>-535.73883161512038</c:v>
                </c:pt>
                <c:pt idx="8">
                  <c:v>-489.26112895823792</c:v>
                </c:pt>
                <c:pt idx="9">
                  <c:v>-58.012259194395831</c:v>
                </c:pt>
                <c:pt idx="10">
                  <c:v>-92.639327024185064</c:v>
                </c:pt>
                <c:pt idx="11">
                  <c:v>-43.405471621069815</c:v>
                </c:pt>
                <c:pt idx="12">
                  <c:v>-175.69605568445476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CD-41FC-990D-1AD072049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7888"/>
        <c:axId val="751273136"/>
      </c:scatterChart>
      <c:valAx>
        <c:axId val="60202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</c:valAx>
      <c:valAx>
        <c:axId val="6020178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TIC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  <c:majorUnit val="50"/>
      </c:valAx>
      <c:valAx>
        <c:axId val="751273136"/>
        <c:scaling>
          <c:orientation val="minMax"/>
          <c:min val="-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Removal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267888"/>
        <c:crosses val="max"/>
        <c:crossBetween val="midCat"/>
      </c:valAx>
      <c:valAx>
        <c:axId val="7512678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5127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73055555555557"/>
          <c:y val="4.4213148148148147E-2"/>
          <c:w val="0.43051984983804253"/>
          <c:h val="4.6374419855140341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'TOC-IC-pH'!$B$97:$B$109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26</c:v>
                </c:pt>
              </c:numCache>
            </c:numRef>
          </c:xVal>
          <c:yVal>
            <c:numRef>
              <c:f>'TOC-IC-pH'!$E$97:$E$109</c:f>
              <c:numCache>
                <c:formatCode>_(* #,##0.00_);_(* \(#,##0.00\);_(* "-"??_);_(@_)</c:formatCode>
                <c:ptCount val="13"/>
                <c:pt idx="0">
                  <c:v>22.408327972396048</c:v>
                </c:pt>
                <c:pt idx="1">
                  <c:v>22.197789344406104</c:v>
                </c:pt>
                <c:pt idx="2">
                  <c:v>20.53355989804588</c:v>
                </c:pt>
                <c:pt idx="3">
                  <c:v>21.410365335598982</c:v>
                </c:pt>
                <c:pt idx="4">
                  <c:v>21.947323704333051</c:v>
                </c:pt>
                <c:pt idx="5">
                  <c:v>25.432240311855079</c:v>
                </c:pt>
                <c:pt idx="6">
                  <c:v>27.55789956432011</c:v>
                </c:pt>
                <c:pt idx="7">
                  <c:v>23.645457717808537</c:v>
                </c:pt>
                <c:pt idx="8">
                  <c:v>23.359311387693381</c:v>
                </c:pt>
                <c:pt idx="9">
                  <c:v>26.167333390075747</c:v>
                </c:pt>
                <c:pt idx="10">
                  <c:v>13.234828496042217</c:v>
                </c:pt>
                <c:pt idx="11">
                  <c:v>18.738906088751289</c:v>
                </c:pt>
                <c:pt idx="12">
                  <c:v>18.982456140350877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1-4580-B32F-D5C78E512E17}"/>
            </c:ext>
          </c:extLst>
        </c:ser>
        <c:ser>
          <c:idx val="2"/>
          <c:order val="1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'TOC-IC-pH'!$B$97:$B$109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26</c:v>
                </c:pt>
              </c:numCache>
            </c:numRef>
          </c:xVal>
          <c:yVal>
            <c:numRef>
              <c:f>'TOC-IC-pH'!$BF$97:$BF$109</c:f>
              <c:numCache>
                <c:formatCode>_(* #,##0.00_);_(* \(#,##0.00\);_(* "-"??_);_(@_)</c:formatCode>
                <c:ptCount val="13"/>
                <c:pt idx="1">
                  <c:v>18.801099479501723</c:v>
                </c:pt>
                <c:pt idx="2">
                  <c:v>13.549702633814784</c:v>
                </c:pt>
                <c:pt idx="3">
                  <c:v>12.547153780798642</c:v>
                </c:pt>
                <c:pt idx="4">
                  <c:v>14.779949022939679</c:v>
                </c:pt>
                <c:pt idx="5">
                  <c:v>15.175418481999541</c:v>
                </c:pt>
                <c:pt idx="6">
                  <c:v>17.768860353130016</c:v>
                </c:pt>
                <c:pt idx="7">
                  <c:v>14.621379551006166</c:v>
                </c:pt>
                <c:pt idx="8">
                  <c:v>13.790857275793879</c:v>
                </c:pt>
                <c:pt idx="9">
                  <c:v>16.66865265128947</c:v>
                </c:pt>
                <c:pt idx="10">
                  <c:v>13.817005702612988</c:v>
                </c:pt>
                <c:pt idx="11">
                  <c:v>15.027863777089783</c:v>
                </c:pt>
                <c:pt idx="12">
                  <c:v>19.958720330237355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C1-4580-B32F-D5C78E512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</c:scatterChart>
      <c:scatterChart>
        <c:scatterStyle val="lineMarker"/>
        <c:varyColors val="0"/>
        <c:ser>
          <c:idx val="3"/>
          <c:order val="2"/>
          <c:tx>
            <c:v>Removal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'TOC-IC-pH'!$B$97:$B$109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26</c:v>
                </c:pt>
              </c:numCache>
            </c:numRef>
          </c:xVal>
          <c:yVal>
            <c:numRef>
              <c:f>'TOC-IC-pH'!$ED$97:$ED$109</c:f>
              <c:numCache>
                <c:formatCode>_(* #,##0.00_);_(* \(#,##0.00\);_(* "-"??_);_(@_)</c:formatCode>
                <c:ptCount val="13"/>
                <c:pt idx="1">
                  <c:v>15.301928548846039</c:v>
                </c:pt>
                <c:pt idx="2">
                  <c:v>34.011916583912608</c:v>
                </c:pt>
                <c:pt idx="3">
                  <c:v>41.396825396825399</c:v>
                </c:pt>
                <c:pt idx="4">
                  <c:v>32.657169402291721</c:v>
                </c:pt>
                <c:pt idx="5">
                  <c:v>40.329997295104135</c:v>
                </c:pt>
                <c:pt idx="6">
                  <c:v>35.521717423864203</c:v>
                </c:pt>
                <c:pt idx="7">
                  <c:v>38.164108618654062</c:v>
                </c:pt>
                <c:pt idx="8">
                  <c:v>40.962055572154178</c:v>
                </c:pt>
                <c:pt idx="9">
                  <c:v>36.299765807962523</c:v>
                </c:pt>
                <c:pt idx="10">
                  <c:v>-4.3988269794721324</c:v>
                </c:pt>
                <c:pt idx="11">
                  <c:v>19.803943165546865</c:v>
                </c:pt>
                <c:pt idx="12">
                  <c:v>-5.1429814069805246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C1-4580-B32F-D5C78E512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7888"/>
        <c:axId val="751273136"/>
      </c:scatterChart>
      <c:valAx>
        <c:axId val="60202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</c:valAx>
      <c:valAx>
        <c:axId val="6020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valAx>
        <c:axId val="7512731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Removal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267888"/>
        <c:crosses val="max"/>
        <c:crossBetween val="midCat"/>
      </c:valAx>
      <c:valAx>
        <c:axId val="7512678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5127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73055555555557"/>
          <c:y val="4.4213148148148147E-2"/>
          <c:w val="0.43051984983804253"/>
          <c:h val="4.6374419855140341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S0 (R² = 0.9595)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'TOC-IC-pH'!$B$96:$B$177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  <c:pt idx="58">
                  <c:v>138</c:v>
                </c:pt>
                <c:pt idx="59">
                  <c:v>141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152</c:v>
                </c:pt>
                <c:pt idx="64">
                  <c:v>154</c:v>
                </c:pt>
                <c:pt idx="65">
                  <c:v>156</c:v>
                </c:pt>
                <c:pt idx="66">
                  <c:v>159</c:v>
                </c:pt>
                <c:pt idx="67">
                  <c:v>170</c:v>
                </c:pt>
                <c:pt idx="68">
                  <c:v>174</c:v>
                </c:pt>
                <c:pt idx="69">
                  <c:v>177</c:v>
                </c:pt>
                <c:pt idx="70">
                  <c:v>181</c:v>
                </c:pt>
                <c:pt idx="71">
                  <c:v>184</c:v>
                </c:pt>
                <c:pt idx="72">
                  <c:v>187</c:v>
                </c:pt>
                <c:pt idx="73">
                  <c:v>190</c:v>
                </c:pt>
                <c:pt idx="74">
                  <c:v>193</c:v>
                </c:pt>
                <c:pt idx="75">
                  <c:v>196</c:v>
                </c:pt>
                <c:pt idx="76">
                  <c:v>197</c:v>
                </c:pt>
                <c:pt idx="77">
                  <c:v>198</c:v>
                </c:pt>
                <c:pt idx="78">
                  <c:v>199</c:v>
                </c:pt>
                <c:pt idx="79">
                  <c:v>200</c:v>
                </c:pt>
                <c:pt idx="80">
                  <c:v>201</c:v>
                </c:pt>
                <c:pt idx="81">
                  <c:v>202</c:v>
                </c:pt>
              </c:numCache>
            </c:numRef>
          </c:xVal>
          <c:yVal>
            <c:numRef>
              <c:f>'TOC-IC-pH'!$W$96:$W$177</c:f>
              <c:numCache>
                <c:formatCode>_(* #,##0.00_);_(* \(#,##0.00\);_(* "-"??_);_(@_)</c:formatCode>
                <c:ptCount val="82"/>
                <c:pt idx="0">
                  <c:v>147.82062931450781</c:v>
                </c:pt>
                <c:pt idx="1">
                  <c:v>1048.0571811476468</c:v>
                </c:pt>
                <c:pt idx="2">
                  <c:v>1004.708574336403</c:v>
                </c:pt>
                <c:pt idx="3">
                  <c:v>908.15066405220341</c:v>
                </c:pt>
                <c:pt idx="4">
                  <c:v>923.14988215065114</c:v>
                </c:pt>
                <c:pt idx="5">
                  <c:v>806.57577668706972</c:v>
                </c:pt>
                <c:pt idx="6">
                  <c:v>1013.4629127102501</c:v>
                </c:pt>
                <c:pt idx="7">
                  <c:v>1007.5753728987881</c:v>
                </c:pt>
                <c:pt idx="8">
                  <c:v>1138.8558511860983</c:v>
                </c:pt>
                <c:pt idx="9">
                  <c:v>878.46928049492294</c:v>
                </c:pt>
                <c:pt idx="10">
                  <c:v>250.66530276876045</c:v>
                </c:pt>
                <c:pt idx="11">
                  <c:v>253.85503293551062</c:v>
                </c:pt>
                <c:pt idx="12">
                  <c:v>202.26821312075745</c:v>
                </c:pt>
                <c:pt idx="13">
                  <c:v>352.45353563795857</c:v>
                </c:pt>
                <c:pt idx="14">
                  <c:v>166.17212460263559</c:v>
                </c:pt>
                <c:pt idx="15">
                  <c:v>346.82302514903307</c:v>
                </c:pt>
                <c:pt idx="16">
                  <c:v>92.351779550003982</c:v>
                </c:pt>
                <c:pt idx="17">
                  <c:v>648.31932878976397</c:v>
                </c:pt>
                <c:pt idx="18">
                  <c:v>302.52988853271813</c:v>
                </c:pt>
                <c:pt idx="19">
                  <c:v>292.09326728172863</c:v>
                </c:pt>
                <c:pt idx="20">
                  <c:v>190.15487608679422</c:v>
                </c:pt>
                <c:pt idx="21">
                  <c:v>1053.9527240866737</c:v>
                </c:pt>
                <c:pt idx="22">
                  <c:v>653.67943221845962</c:v>
                </c:pt>
                <c:pt idx="23">
                  <c:v>1225.9371979685013</c:v>
                </c:pt>
                <c:pt idx="24">
                  <c:v>374.7085220743835</c:v>
                </c:pt>
                <c:pt idx="25">
                  <c:v>659.55540562392423</c:v>
                </c:pt>
                <c:pt idx="26">
                  <c:v>191.43682797160875</c:v>
                </c:pt>
                <c:pt idx="27">
                  <c:v>359.94151428810517</c:v>
                </c:pt>
                <c:pt idx="28">
                  <c:v>369.25633618086624</c:v>
                </c:pt>
                <c:pt idx="29">
                  <c:v>1031.4922882783881</c:v>
                </c:pt>
                <c:pt idx="30">
                  <c:v>601.62080586639092</c:v>
                </c:pt>
                <c:pt idx="31">
                  <c:v>233.45572847583924</c:v>
                </c:pt>
                <c:pt idx="32">
                  <c:v>355.66290235220305</c:v>
                </c:pt>
                <c:pt idx="33">
                  <c:v>171.54507246195422</c:v>
                </c:pt>
                <c:pt idx="34">
                  <c:v>493.44791544381894</c:v>
                </c:pt>
                <c:pt idx="35">
                  <c:v>358.76773273411476</c:v>
                </c:pt>
                <c:pt idx="36">
                  <c:v>291.52943976626261</c:v>
                </c:pt>
                <c:pt idx="37">
                  <c:v>212.94119350692191</c:v>
                </c:pt>
                <c:pt idx="38">
                  <c:v>349.96896500686802</c:v>
                </c:pt>
                <c:pt idx="39">
                  <c:v>942.00048364312283</c:v>
                </c:pt>
                <c:pt idx="40">
                  <c:v>432.59096637930912</c:v>
                </c:pt>
                <c:pt idx="41">
                  <c:v>374.07841413334745</c:v>
                </c:pt>
                <c:pt idx="42">
                  <c:v>887.47089748780695</c:v>
                </c:pt>
                <c:pt idx="43">
                  <c:v>468.90087897982602</c:v>
                </c:pt>
                <c:pt idx="44">
                  <c:v>363.87343219003884</c:v>
                </c:pt>
                <c:pt idx="45">
                  <c:v>323.21465528085554</c:v>
                </c:pt>
                <c:pt idx="46">
                  <c:v>1305.1060085672077</c:v>
                </c:pt>
                <c:pt idx="47">
                  <c:v>278.09651199854341</c:v>
                </c:pt>
                <c:pt idx="48">
                  <c:v>618.39350407367283</c:v>
                </c:pt>
                <c:pt idx="49">
                  <c:v>542.67786867696691</c:v>
                </c:pt>
                <c:pt idx="50">
                  <c:v>255.34693869281173</c:v>
                </c:pt>
                <c:pt idx="51">
                  <c:v>912.86115314442713</c:v>
                </c:pt>
                <c:pt idx="52">
                  <c:v>832.15034474414745</c:v>
                </c:pt>
                <c:pt idx="53">
                  <c:v>262.40036197575637</c:v>
                </c:pt>
                <c:pt idx="54">
                  <c:v>781.95477344788969</c:v>
                </c:pt>
                <c:pt idx="55">
                  <c:v>578.48329848158789</c:v>
                </c:pt>
                <c:pt idx="56">
                  <c:v>526.07468354607886</c:v>
                </c:pt>
                <c:pt idx="57">
                  <c:v>521.37986510840756</c:v>
                </c:pt>
                <c:pt idx="58">
                  <c:v>443.70189457011571</c:v>
                </c:pt>
                <c:pt idx="59">
                  <c:v>452.46864767912803</c:v>
                </c:pt>
                <c:pt idx="60">
                  <c:v>376.37544792106638</c:v>
                </c:pt>
                <c:pt idx="61">
                  <c:v>514.67620278018762</c:v>
                </c:pt>
                <c:pt idx="62">
                  <c:v>469.13016323002915</c:v>
                </c:pt>
                <c:pt idx="63">
                  <c:v>226.01666673001739</c:v>
                </c:pt>
                <c:pt idx="64">
                  <c:v>389.62215077093458</c:v>
                </c:pt>
                <c:pt idx="65">
                  <c:v>414.57365063078703</c:v>
                </c:pt>
                <c:pt idx="66">
                  <c:v>794.25160118999156</c:v>
                </c:pt>
                <c:pt idx="67">
                  <c:v>564.52493649454766</c:v>
                </c:pt>
                <c:pt idx="68">
                  <c:v>528.40229518396416</c:v>
                </c:pt>
                <c:pt idx="69">
                  <c:v>748.97531376216648</c:v>
                </c:pt>
                <c:pt idx="70">
                  <c:v>479.53890958463973</c:v>
                </c:pt>
                <c:pt idx="71">
                  <c:v>508.77165593420756</c:v>
                </c:pt>
                <c:pt idx="72">
                  <c:v>139.34535001947697</c:v>
                </c:pt>
                <c:pt idx="73">
                  <c:v>271.79575100159184</c:v>
                </c:pt>
                <c:pt idx="74">
                  <c:v>665.26927823900201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8-4F8B-AFF4-3D7F590E3E77}"/>
            </c:ext>
          </c:extLst>
        </c:ser>
        <c:ser>
          <c:idx val="2"/>
          <c:order val="1"/>
          <c:tx>
            <c:v>S2 (R² = 0.9537)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'TOC-IC-pH'!$B$96:$B$177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  <c:pt idx="58">
                  <c:v>138</c:v>
                </c:pt>
                <c:pt idx="59">
                  <c:v>141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152</c:v>
                </c:pt>
                <c:pt idx="64">
                  <c:v>154</c:v>
                </c:pt>
                <c:pt idx="65">
                  <c:v>156</c:v>
                </c:pt>
                <c:pt idx="66">
                  <c:v>159</c:v>
                </c:pt>
                <c:pt idx="67">
                  <c:v>170</c:v>
                </c:pt>
                <c:pt idx="68">
                  <c:v>174</c:v>
                </c:pt>
                <c:pt idx="69">
                  <c:v>177</c:v>
                </c:pt>
                <c:pt idx="70">
                  <c:v>181</c:v>
                </c:pt>
                <c:pt idx="71">
                  <c:v>184</c:v>
                </c:pt>
                <c:pt idx="72">
                  <c:v>187</c:v>
                </c:pt>
                <c:pt idx="73">
                  <c:v>190</c:v>
                </c:pt>
                <c:pt idx="74">
                  <c:v>193</c:v>
                </c:pt>
                <c:pt idx="75">
                  <c:v>196</c:v>
                </c:pt>
                <c:pt idx="76">
                  <c:v>197</c:v>
                </c:pt>
                <c:pt idx="77">
                  <c:v>198</c:v>
                </c:pt>
                <c:pt idx="78">
                  <c:v>199</c:v>
                </c:pt>
                <c:pt idx="79">
                  <c:v>200</c:v>
                </c:pt>
                <c:pt idx="80">
                  <c:v>201</c:v>
                </c:pt>
                <c:pt idx="81">
                  <c:v>202</c:v>
                </c:pt>
              </c:numCache>
            </c:numRef>
          </c:xVal>
          <c:yVal>
            <c:numRef>
              <c:f>'TOC-IC-pH'!$BX$96:$BX$177</c:f>
              <c:numCache>
                <c:formatCode>_(* #,##0.00_);_(* \(#,##0.00\);_(* "-"??_);_(@_)</c:formatCode>
                <c:ptCount val="82"/>
                <c:pt idx="2">
                  <c:v>356.90462367345049</c:v>
                </c:pt>
                <c:pt idx="3">
                  <c:v>389.29167003863063</c:v>
                </c:pt>
                <c:pt idx="4">
                  <c:v>264.94842687764339</c:v>
                </c:pt>
                <c:pt idx="5">
                  <c:v>250.01590093495395</c:v>
                </c:pt>
                <c:pt idx="6">
                  <c:v>233.16012148320539</c:v>
                </c:pt>
                <c:pt idx="7">
                  <c:v>308.60944689208691</c:v>
                </c:pt>
                <c:pt idx="8">
                  <c:v>137.29983941387636</c:v>
                </c:pt>
                <c:pt idx="9">
                  <c:v>185.52343717112748</c:v>
                </c:pt>
                <c:pt idx="10">
                  <c:v>84.611238193157902</c:v>
                </c:pt>
                <c:pt idx="11">
                  <c:v>107.17137051024245</c:v>
                </c:pt>
                <c:pt idx="12">
                  <c:v>101.29463446204528</c:v>
                </c:pt>
                <c:pt idx="13">
                  <c:v>82.246782545638496</c:v>
                </c:pt>
                <c:pt idx="14">
                  <c:v>49.883540109122791</c:v>
                </c:pt>
                <c:pt idx="15">
                  <c:v>76.425892715125045</c:v>
                </c:pt>
                <c:pt idx="16">
                  <c:v>79.066775562494996</c:v>
                </c:pt>
                <c:pt idx="17">
                  <c:v>149.91</c:v>
                </c:pt>
                <c:pt idx="18">
                  <c:v>149.91</c:v>
                </c:pt>
                <c:pt idx="19">
                  <c:v>121.45371357078332</c:v>
                </c:pt>
                <c:pt idx="21">
                  <c:v>127.12979522222993</c:v>
                </c:pt>
                <c:pt idx="22">
                  <c:v>166.35718265555278</c:v>
                </c:pt>
                <c:pt idx="23">
                  <c:v>216.6913935121953</c:v>
                </c:pt>
                <c:pt idx="24">
                  <c:v>162.60220345819795</c:v>
                </c:pt>
                <c:pt idx="25">
                  <c:v>195.52020116273385</c:v>
                </c:pt>
                <c:pt idx="26">
                  <c:v>132.45182563711938</c:v>
                </c:pt>
                <c:pt idx="27">
                  <c:v>111.1832654157823</c:v>
                </c:pt>
                <c:pt idx="28">
                  <c:v>159.91076228710352</c:v>
                </c:pt>
                <c:pt idx="29">
                  <c:v>150.82193830730671</c:v>
                </c:pt>
                <c:pt idx="30">
                  <c:v>135.02179561461654</c:v>
                </c:pt>
                <c:pt idx="31">
                  <c:v>324.55486722205148</c:v>
                </c:pt>
                <c:pt idx="32">
                  <c:v>175.61089057945944</c:v>
                </c:pt>
                <c:pt idx="33">
                  <c:v>114.65949480637907</c:v>
                </c:pt>
                <c:pt idx="34">
                  <c:v>119.0763564902804</c:v>
                </c:pt>
                <c:pt idx="35">
                  <c:v>139.11863199014218</c:v>
                </c:pt>
                <c:pt idx="36">
                  <c:v>135.24798060081233</c:v>
                </c:pt>
                <c:pt idx="37">
                  <c:v>135.67719307056328</c:v>
                </c:pt>
                <c:pt idx="38">
                  <c:v>227.31161324709888</c:v>
                </c:pt>
                <c:pt idx="39">
                  <c:v>240.61284335857226</c:v>
                </c:pt>
                <c:pt idx="40">
                  <c:v>102.92212852837729</c:v>
                </c:pt>
                <c:pt idx="41">
                  <c:v>166.52612540344475</c:v>
                </c:pt>
                <c:pt idx="42">
                  <c:v>123.01925679734781</c:v>
                </c:pt>
                <c:pt idx="43">
                  <c:v>159.75644573263887</c:v>
                </c:pt>
                <c:pt idx="44">
                  <c:v>204.22801677816912</c:v>
                </c:pt>
                <c:pt idx="45">
                  <c:v>207.84228116354046</c:v>
                </c:pt>
                <c:pt idx="46">
                  <c:v>317.95529116380317</c:v>
                </c:pt>
                <c:pt idx="47">
                  <c:v>123.67041078343932</c:v>
                </c:pt>
                <c:pt idx="48">
                  <c:v>118.24297215713867</c:v>
                </c:pt>
                <c:pt idx="49">
                  <c:v>132.85122111673786</c:v>
                </c:pt>
                <c:pt idx="50">
                  <c:v>139.27694432639183</c:v>
                </c:pt>
                <c:pt idx="51">
                  <c:v>295.9711618023502</c:v>
                </c:pt>
                <c:pt idx="52">
                  <c:v>226.34848365156628</c:v>
                </c:pt>
                <c:pt idx="53">
                  <c:v>134.15557020334282</c:v>
                </c:pt>
                <c:pt idx="54">
                  <c:v>198.49840710746929</c:v>
                </c:pt>
                <c:pt idx="55">
                  <c:v>218.55358129127831</c:v>
                </c:pt>
                <c:pt idx="56">
                  <c:v>210.38027394212187</c:v>
                </c:pt>
                <c:pt idx="57">
                  <c:v>200.48271535946287</c:v>
                </c:pt>
                <c:pt idx="58">
                  <c:v>214.98291185566973</c:v>
                </c:pt>
                <c:pt idx="59">
                  <c:v>210.76698510180739</c:v>
                </c:pt>
                <c:pt idx="60">
                  <c:v>236.6268170133427</c:v>
                </c:pt>
                <c:pt idx="61">
                  <c:v>506.65498034683287</c:v>
                </c:pt>
                <c:pt idx="62">
                  <c:v>365.39030297075016</c:v>
                </c:pt>
                <c:pt idx="63">
                  <c:v>287.17193996217713</c:v>
                </c:pt>
                <c:pt idx="64">
                  <c:v>251.10856889841284</c:v>
                </c:pt>
                <c:pt idx="65">
                  <c:v>210.37215022091306</c:v>
                </c:pt>
                <c:pt idx="66">
                  <c:v>218.67931056652552</c:v>
                </c:pt>
                <c:pt idx="67">
                  <c:v>194.27674680854562</c:v>
                </c:pt>
                <c:pt idx="68">
                  <c:v>203.45204628817788</c:v>
                </c:pt>
                <c:pt idx="69">
                  <c:v>227.85378064935773</c:v>
                </c:pt>
                <c:pt idx="70">
                  <c:v>269.68899247350407</c:v>
                </c:pt>
                <c:pt idx="71">
                  <c:v>188.20587959181196</c:v>
                </c:pt>
                <c:pt idx="72">
                  <c:v>166.43279673949053</c:v>
                </c:pt>
                <c:pt idx="73">
                  <c:v>197.00555463469144</c:v>
                </c:pt>
                <c:pt idx="74">
                  <c:v>192.120758673491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8-4F8B-AFF4-3D7F590E3E77}"/>
            </c:ext>
          </c:extLst>
        </c:ser>
        <c:ser>
          <c:idx val="7"/>
          <c:order val="7"/>
          <c:tx>
            <c:v>+30L of Bio. Slud.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25400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147</c:v>
              </c:pt>
            </c:numLit>
          </c:xVal>
          <c:yVal>
            <c:numLit>
              <c:formatCode>General</c:formatCode>
              <c:ptCount val="1"/>
              <c:pt idx="0">
                <c:v>700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DBB-44F6-8CEC-1209604D8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</c:scatterChart>
      <c:scatterChart>
        <c:scatterStyle val="lineMarker"/>
        <c:varyColors val="0"/>
        <c:ser>
          <c:idx val="3"/>
          <c:order val="2"/>
          <c:tx>
            <c:v>Removal UASB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'TOC-IC-pH'!$B$96:$B$177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  <c:pt idx="58">
                  <c:v>138</c:v>
                </c:pt>
                <c:pt idx="59">
                  <c:v>141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152</c:v>
                </c:pt>
                <c:pt idx="64">
                  <c:v>154</c:v>
                </c:pt>
                <c:pt idx="65">
                  <c:v>156</c:v>
                </c:pt>
                <c:pt idx="66">
                  <c:v>159</c:v>
                </c:pt>
                <c:pt idx="67">
                  <c:v>170</c:v>
                </c:pt>
                <c:pt idx="68">
                  <c:v>174</c:v>
                </c:pt>
                <c:pt idx="69">
                  <c:v>177</c:v>
                </c:pt>
                <c:pt idx="70">
                  <c:v>181</c:v>
                </c:pt>
                <c:pt idx="71">
                  <c:v>184</c:v>
                </c:pt>
                <c:pt idx="72">
                  <c:v>187</c:v>
                </c:pt>
                <c:pt idx="73">
                  <c:v>190</c:v>
                </c:pt>
                <c:pt idx="74">
                  <c:v>193</c:v>
                </c:pt>
                <c:pt idx="75">
                  <c:v>196</c:v>
                </c:pt>
                <c:pt idx="76">
                  <c:v>197</c:v>
                </c:pt>
                <c:pt idx="77">
                  <c:v>198</c:v>
                </c:pt>
                <c:pt idx="78">
                  <c:v>199</c:v>
                </c:pt>
                <c:pt idx="79">
                  <c:v>200</c:v>
                </c:pt>
                <c:pt idx="80">
                  <c:v>201</c:v>
                </c:pt>
                <c:pt idx="81">
                  <c:v>202</c:v>
                </c:pt>
              </c:numCache>
            </c:numRef>
          </c:xVal>
          <c:yVal>
            <c:numRef>
              <c:f>'TOC-IC-pH'!$EF$96:$EF$177</c:f>
              <c:numCache>
                <c:formatCode>_(* #,##0.00_);_(* \(#,##0.00\);_(* "-"??_);_(@_)</c:formatCode>
                <c:ptCount val="82"/>
                <c:pt idx="2">
                  <c:v>64.476801254614415</c:v>
                </c:pt>
                <c:pt idx="3">
                  <c:v>57.133580864039004</c:v>
                </c:pt>
                <c:pt idx="4">
                  <c:v>71.299522211886512</c:v>
                </c:pt>
                <c:pt idx="5">
                  <c:v>69.002800708710893</c:v>
                </c:pt>
                <c:pt idx="6">
                  <c:v>76.993719399195612</c:v>
                </c:pt>
                <c:pt idx="7">
                  <c:v>69.371080795254116</c:v>
                </c:pt>
                <c:pt idx="8">
                  <c:v>87.944054616668026</c:v>
                </c:pt>
                <c:pt idx="9">
                  <c:v>78.881055798945525</c:v>
                </c:pt>
                <c:pt idx="10">
                  <c:v>66.245333016348084</c:v>
                </c:pt>
                <c:pt idx="11">
                  <c:v>57.782451948680368</c:v>
                </c:pt>
                <c:pt idx="12">
                  <c:v>49.920636120134844</c:v>
                </c:pt>
                <c:pt idx="13">
                  <c:v>76.664503479368506</c:v>
                </c:pt>
                <c:pt idx="14">
                  <c:v>69.980801395896933</c:v>
                </c:pt>
                <c:pt idx="15">
                  <c:v>77.964008392382794</c:v>
                </c:pt>
                <c:pt idx="16">
                  <c:v>14.385217103819645</c:v>
                </c:pt>
                <c:pt idx="17">
                  <c:v>76.87713548817969</c:v>
                </c:pt>
                <c:pt idx="18">
                  <c:v>50.447871208008763</c:v>
                </c:pt>
                <c:pt idx="19">
                  <c:v>58.419543626919932</c:v>
                </c:pt>
                <c:pt idx="21">
                  <c:v>87.937808564193702</c:v>
                </c:pt>
                <c:pt idx="22">
                  <c:v>74.550647541262066</c:v>
                </c:pt>
                <c:pt idx="23">
                  <c:v>82.324429516350889</c:v>
                </c:pt>
                <c:pt idx="24">
                  <c:v>56.605683116563931</c:v>
                </c:pt>
                <c:pt idx="25">
                  <c:v>70.355757909712494</c:v>
                </c:pt>
                <c:pt idx="26">
                  <c:v>30.811731974182731</c:v>
                </c:pt>
                <c:pt idx="27">
                  <c:v>69.110741328162334</c:v>
                </c:pt>
                <c:pt idx="28">
                  <c:v>56.69383389841758</c:v>
                </c:pt>
                <c:pt idx="29">
                  <c:v>85.378277664195039</c:v>
                </c:pt>
                <c:pt idx="30">
                  <c:v>77.556993658127837</c:v>
                </c:pt>
                <c:pt idx="32">
                  <c:v>50.624344170268046</c:v>
                </c:pt>
                <c:pt idx="33">
                  <c:v>33.160717961275985</c:v>
                </c:pt>
                <c:pt idx="34">
                  <c:v>75.868505517308691</c:v>
                </c:pt>
                <c:pt idx="35">
                  <c:v>61.223203957072705</c:v>
                </c:pt>
                <c:pt idx="36">
                  <c:v>53.607436453330713</c:v>
                </c:pt>
                <c:pt idx="37">
                  <c:v>36.284196197034589</c:v>
                </c:pt>
                <c:pt idx="38">
                  <c:v>35.048065406988883</c:v>
                </c:pt>
                <c:pt idx="39">
                  <c:v>74.457248426453191</c:v>
                </c:pt>
                <c:pt idx="40">
                  <c:v>76.207980164307926</c:v>
                </c:pt>
                <c:pt idx="41">
                  <c:v>55.483631476238216</c:v>
                </c:pt>
                <c:pt idx="42">
                  <c:v>86.138220741031347</c:v>
                </c:pt>
                <c:pt idx="43">
                  <c:v>65.929591328509289</c:v>
                </c:pt>
                <c:pt idx="44">
                  <c:v>43.873886161738866</c:v>
                </c:pt>
                <c:pt idx="45">
                  <c:v>35.695279354540062</c:v>
                </c:pt>
                <c:pt idx="46">
                  <c:v>75.637588894953751</c:v>
                </c:pt>
                <c:pt idx="47">
                  <c:v>55.529679284835098</c:v>
                </c:pt>
                <c:pt idx="48">
                  <c:v>80.879008046136974</c:v>
                </c:pt>
                <c:pt idx="49">
                  <c:v>75.519322090538651</c:v>
                </c:pt>
                <c:pt idx="50">
                  <c:v>45.455800238143759</c:v>
                </c:pt>
                <c:pt idx="51">
                  <c:v>67.577636447464911</c:v>
                </c:pt>
                <c:pt idx="52">
                  <c:v>72.799568601854119</c:v>
                </c:pt>
                <c:pt idx="53">
                  <c:v>48.873709931948305</c:v>
                </c:pt>
                <c:pt idx="54">
                  <c:v>74.615103859239056</c:v>
                </c:pt>
                <c:pt idx="55">
                  <c:v>62.219552083017568</c:v>
                </c:pt>
                <c:pt idx="56">
                  <c:v>60.009428219578119</c:v>
                </c:pt>
                <c:pt idx="57">
                  <c:v>61.54766825953709</c:v>
                </c:pt>
                <c:pt idx="58">
                  <c:v>51.547894095886669</c:v>
                </c:pt>
                <c:pt idx="59">
                  <c:v>53.41843325876701</c:v>
                </c:pt>
                <c:pt idx="60">
                  <c:v>37.130113475688731</c:v>
                </c:pt>
                <c:pt idx="61">
                  <c:v>1.5584987978899278</c:v>
                </c:pt>
                <c:pt idx="62">
                  <c:v>22.113236024947753</c:v>
                </c:pt>
                <c:pt idx="63">
                  <c:v>-27.057859987472188</c:v>
                </c:pt>
                <c:pt idx="64">
                  <c:v>35.550746177661807</c:v>
                </c:pt>
                <c:pt idx="65">
                  <c:v>49.255783646446147</c:v>
                </c:pt>
                <c:pt idx="66">
                  <c:v>72.46724964244477</c:v>
                </c:pt>
                <c:pt idx="67">
                  <c:v>65.585798917064835</c:v>
                </c:pt>
                <c:pt idx="68">
                  <c:v>61.496751974299102</c:v>
                </c:pt>
                <c:pt idx="69">
                  <c:v>69.577931813956738</c:v>
                </c:pt>
                <c:pt idx="70">
                  <c:v>43.760769546917579</c:v>
                </c:pt>
                <c:pt idx="71">
                  <c:v>63.007789959087248</c:v>
                </c:pt>
                <c:pt idx="72">
                  <c:v>-19.439074727809299</c:v>
                </c:pt>
                <c:pt idx="73">
                  <c:v>27.517058707243137</c:v>
                </c:pt>
                <c:pt idx="74">
                  <c:v>71.121354170743714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A8-4F8B-AFF4-3D7F590E3E77}"/>
            </c:ext>
          </c:extLst>
        </c:ser>
        <c:ser>
          <c:idx val="1"/>
          <c:order val="3"/>
          <c:tx>
            <c:v>No add sugar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'TOC-IC-pH'!$B$105</c:f>
              <c:numCache>
                <c:formatCode>0</c:formatCode>
                <c:ptCount val="1"/>
                <c:pt idx="0">
                  <c:v>16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A3F-4377-B026-8CE4721998BF}"/>
            </c:ext>
          </c:extLst>
        </c:ser>
        <c:ser>
          <c:idx val="4"/>
          <c:order val="4"/>
          <c:tx>
            <c:v>Start MBR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'TOC-IC-pH'!$B$115</c:f>
              <c:numCache>
                <c:formatCode>0</c:formatCode>
                <c:ptCount val="1"/>
                <c:pt idx="0">
                  <c:v>42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A3F-4377-B026-8CE4721998BF}"/>
            </c:ext>
          </c:extLst>
        </c:ser>
        <c:ser>
          <c:idx val="5"/>
          <c:order val="5"/>
          <c:tx>
            <c:v>sludges leaked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'TOC-IC-pH'!$B$127</c:f>
              <c:numCache>
                <c:formatCode>0</c:formatCode>
                <c:ptCount val="1"/>
                <c:pt idx="0">
                  <c:v>68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A3F-4377-B026-8CE4721998BF}"/>
            </c:ext>
          </c:extLst>
        </c:ser>
        <c:ser>
          <c:idx val="6"/>
          <c:order val="6"/>
          <c:tx>
            <c:v>TOC/TN fixed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200"/>
            <c:spPr>
              <a:noFill/>
              <a:ln w="19050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127</c:v>
              </c:pt>
            </c:numLit>
          </c:xVal>
          <c:yVal>
            <c:numLit>
              <c:formatCode>General</c:formatCode>
              <c:ptCount val="1"/>
              <c:pt idx="0">
                <c:v>40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DBB-44F6-8CEC-1209604D8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7888"/>
        <c:axId val="751273136"/>
        <c:extLst/>
      </c:scatterChart>
      <c:valAx>
        <c:axId val="602022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  <c:majorUnit val="10"/>
        <c:minorUnit val="5"/>
      </c:valAx>
      <c:valAx>
        <c:axId val="602017856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COD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valAx>
        <c:axId val="751273136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Removal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267888"/>
        <c:crosses val="max"/>
        <c:crossBetween val="between"/>
        <c:majorUnit val="20"/>
      </c:valAx>
      <c:catAx>
        <c:axId val="7512678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5127313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44847997973232123"/>
          <c:y val="2.0408060782275517E-2"/>
          <c:w val="0.55152003714519204"/>
          <c:h val="4.944220406617140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132587485333667E-2"/>
          <c:y val="2.4892725667295629E-2"/>
          <c:w val="0.92613825270266859"/>
          <c:h val="0.84162396523326011"/>
        </c:manualLayout>
      </c:layout>
      <c:scatterChart>
        <c:scatterStyle val="lineMarker"/>
        <c:varyColors val="0"/>
        <c:ser>
          <c:idx val="0"/>
          <c:order val="0"/>
          <c:tx>
            <c:v>S0</c:v>
          </c:tx>
          <c:spPr>
            <a:ln w="3175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'TOC-IC-pH'!$B$96:$B$177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  <c:pt idx="58">
                  <c:v>138</c:v>
                </c:pt>
                <c:pt idx="59">
                  <c:v>141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152</c:v>
                </c:pt>
                <c:pt idx="64">
                  <c:v>154</c:v>
                </c:pt>
                <c:pt idx="65">
                  <c:v>156</c:v>
                </c:pt>
                <c:pt idx="66">
                  <c:v>159</c:v>
                </c:pt>
                <c:pt idx="67">
                  <c:v>170</c:v>
                </c:pt>
                <c:pt idx="68">
                  <c:v>174</c:v>
                </c:pt>
                <c:pt idx="69">
                  <c:v>177</c:v>
                </c:pt>
                <c:pt idx="70">
                  <c:v>181</c:v>
                </c:pt>
                <c:pt idx="71">
                  <c:v>184</c:v>
                </c:pt>
                <c:pt idx="72">
                  <c:v>187</c:v>
                </c:pt>
                <c:pt idx="73">
                  <c:v>190</c:v>
                </c:pt>
                <c:pt idx="74">
                  <c:v>193</c:v>
                </c:pt>
                <c:pt idx="75">
                  <c:v>196</c:v>
                </c:pt>
                <c:pt idx="76">
                  <c:v>197</c:v>
                </c:pt>
                <c:pt idx="77">
                  <c:v>198</c:v>
                </c:pt>
                <c:pt idx="78">
                  <c:v>199</c:v>
                </c:pt>
                <c:pt idx="79">
                  <c:v>200</c:v>
                </c:pt>
                <c:pt idx="80">
                  <c:v>201</c:v>
                </c:pt>
                <c:pt idx="81">
                  <c:v>202</c:v>
                </c:pt>
              </c:numCache>
            </c:numRef>
          </c:xVal>
          <c:yVal>
            <c:numRef>
              <c:f>'TOC-IC-pH'!$E$96:$E$177</c:f>
              <c:numCache>
                <c:formatCode>_(* #,##0.00_);_(* \(#,##0.00\);_(* "-"??_);_(@_)</c:formatCode>
                <c:ptCount val="82"/>
                <c:pt idx="1">
                  <c:v>22.408327972396048</c:v>
                </c:pt>
                <c:pt idx="2">
                  <c:v>22.197789344406104</c:v>
                </c:pt>
                <c:pt idx="3">
                  <c:v>20.53355989804588</c:v>
                </c:pt>
                <c:pt idx="4">
                  <c:v>21.410365335598982</c:v>
                </c:pt>
                <c:pt idx="5">
                  <c:v>21.947323704333051</c:v>
                </c:pt>
                <c:pt idx="6">
                  <c:v>25.432240311855079</c:v>
                </c:pt>
                <c:pt idx="7">
                  <c:v>27.55789956432011</c:v>
                </c:pt>
                <c:pt idx="8">
                  <c:v>23.645457717808537</c:v>
                </c:pt>
                <c:pt idx="9">
                  <c:v>23.359311387693381</c:v>
                </c:pt>
                <c:pt idx="10">
                  <c:v>26.167333390075747</c:v>
                </c:pt>
                <c:pt idx="11">
                  <c:v>13.234828496042217</c:v>
                </c:pt>
                <c:pt idx="12">
                  <c:v>18.738906088751289</c:v>
                </c:pt>
                <c:pt idx="13">
                  <c:v>18.982456140350877</c:v>
                </c:pt>
                <c:pt idx="14">
                  <c:v>18.892319277108435</c:v>
                </c:pt>
                <c:pt idx="15">
                  <c:v>20.182228915662648</c:v>
                </c:pt>
                <c:pt idx="17">
                  <c:v>18.210313819049368</c:v>
                </c:pt>
                <c:pt idx="18">
                  <c:v>11.143559718969556</c:v>
                </c:pt>
                <c:pt idx="19">
                  <c:v>12.011943793911007</c:v>
                </c:pt>
                <c:pt idx="20">
                  <c:v>14.093306288032455</c:v>
                </c:pt>
                <c:pt idx="21">
                  <c:v>14.222169192220498</c:v>
                </c:pt>
                <c:pt idx="22">
                  <c:v>20.811387900355875</c:v>
                </c:pt>
                <c:pt idx="23">
                  <c:v>27.069988137603801</c:v>
                </c:pt>
                <c:pt idx="24">
                  <c:v>20.701808986578488</c:v>
                </c:pt>
                <c:pt idx="25">
                  <c:v>20.732153277572461</c:v>
                </c:pt>
                <c:pt idx="26">
                  <c:v>12.972235383303325</c:v>
                </c:pt>
                <c:pt idx="27">
                  <c:v>22.826963702707893</c:v>
                </c:pt>
                <c:pt idx="28">
                  <c:v>16.811983867870172</c:v>
                </c:pt>
                <c:pt idx="29">
                  <c:v>13.938184284468559</c:v>
                </c:pt>
                <c:pt idx="30">
                  <c:v>18.986649550706034</c:v>
                </c:pt>
                <c:pt idx="31">
                  <c:v>18.570731707317073</c:v>
                </c:pt>
                <c:pt idx="32">
                  <c:v>13.977150192554557</c:v>
                </c:pt>
                <c:pt idx="33">
                  <c:v>10.380665427270978</c:v>
                </c:pt>
                <c:pt idx="34">
                  <c:v>14.022437335726647</c:v>
                </c:pt>
                <c:pt idx="35">
                  <c:v>13.357779344829797</c:v>
                </c:pt>
                <c:pt idx="36">
                  <c:v>13.56460728902748</c:v>
                </c:pt>
                <c:pt idx="37">
                  <c:v>16.574546871954784</c:v>
                </c:pt>
                <c:pt idx="38">
                  <c:v>15.550185149093744</c:v>
                </c:pt>
                <c:pt idx="39">
                  <c:v>17.734443716665108</c:v>
                </c:pt>
                <c:pt idx="40">
                  <c:v>18.953869186862541</c:v>
                </c:pt>
                <c:pt idx="41">
                  <c:v>19.461654135338343</c:v>
                </c:pt>
                <c:pt idx="42">
                  <c:v>21.633834586466165</c:v>
                </c:pt>
                <c:pt idx="43">
                  <c:v>21.218796992481202</c:v>
                </c:pt>
                <c:pt idx="44">
                  <c:v>31.690294438386044</c:v>
                </c:pt>
                <c:pt idx="45">
                  <c:v>27.284623773173394</c:v>
                </c:pt>
                <c:pt idx="46">
                  <c:v>35.889052659788284</c:v>
                </c:pt>
                <c:pt idx="47">
                  <c:v>37.505024788958863</c:v>
                </c:pt>
                <c:pt idx="48">
                  <c:v>31.740586895350397</c:v>
                </c:pt>
                <c:pt idx="49">
                  <c:v>34.924293179686451</c:v>
                </c:pt>
                <c:pt idx="50">
                  <c:v>26.568007010028236</c:v>
                </c:pt>
                <c:pt idx="51">
                  <c:v>30.049654366663415</c:v>
                </c:pt>
                <c:pt idx="52">
                  <c:v>36.071254745449231</c:v>
                </c:pt>
                <c:pt idx="53">
                  <c:v>26.311207834602826</c:v>
                </c:pt>
                <c:pt idx="54">
                  <c:v>25.440696409140369</c:v>
                </c:pt>
                <c:pt idx="55">
                  <c:v>40.275197195442601</c:v>
                </c:pt>
                <c:pt idx="56">
                  <c:v>41.316389132340056</c:v>
                </c:pt>
                <c:pt idx="57">
                  <c:v>34.476336090068806</c:v>
                </c:pt>
                <c:pt idx="58">
                  <c:v>46.691700513449298</c:v>
                </c:pt>
                <c:pt idx="59">
                  <c:v>42.052091554853988</c:v>
                </c:pt>
                <c:pt idx="60">
                  <c:v>52.222400256369177</c:v>
                </c:pt>
                <c:pt idx="61">
                  <c:v>55.847464503042602</c:v>
                </c:pt>
                <c:pt idx="62">
                  <c:v>44.412074128024607</c:v>
                </c:pt>
                <c:pt idx="63">
                  <c:v>48.628211342704795</c:v>
                </c:pt>
                <c:pt idx="64">
                  <c:v>54.597402597402592</c:v>
                </c:pt>
                <c:pt idx="65">
                  <c:v>45.569290826284977</c:v>
                </c:pt>
                <c:pt idx="66">
                  <c:v>62.667534157449566</c:v>
                </c:pt>
                <c:pt idx="67">
                  <c:v>51.444278646037851</c:v>
                </c:pt>
                <c:pt idx="68">
                  <c:v>56.294667399670146</c:v>
                </c:pt>
                <c:pt idx="69">
                  <c:v>62.817551963048501</c:v>
                </c:pt>
                <c:pt idx="70">
                  <c:v>61.496733647564696</c:v>
                </c:pt>
                <c:pt idx="71">
                  <c:v>58.753659556670847</c:v>
                </c:pt>
                <c:pt idx="72">
                  <c:v>429.06367041198502</c:v>
                </c:pt>
                <c:pt idx="73">
                  <c:v>54.378559463986591</c:v>
                </c:pt>
                <c:pt idx="74">
                  <c:v>53.672517595183585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8-4B22-BCEB-FFB40A884ED6}"/>
            </c:ext>
          </c:extLst>
        </c:ser>
        <c:ser>
          <c:idx val="2"/>
          <c:order val="1"/>
          <c:tx>
            <c:v>S2</c:v>
          </c:tx>
          <c:spPr>
            <a:ln w="3175" cap="rnd">
              <a:solidFill>
                <a:srgbClr val="00B0F0">
                  <a:alpha val="50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'TOC-IC-pH'!$B$96:$B$177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  <c:pt idx="58">
                  <c:v>138</c:v>
                </c:pt>
                <c:pt idx="59">
                  <c:v>141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152</c:v>
                </c:pt>
                <c:pt idx="64">
                  <c:v>154</c:v>
                </c:pt>
                <c:pt idx="65">
                  <c:v>156</c:v>
                </c:pt>
                <c:pt idx="66">
                  <c:v>159</c:v>
                </c:pt>
                <c:pt idx="67">
                  <c:v>170</c:v>
                </c:pt>
                <c:pt idx="68">
                  <c:v>174</c:v>
                </c:pt>
                <c:pt idx="69">
                  <c:v>177</c:v>
                </c:pt>
                <c:pt idx="70">
                  <c:v>181</c:v>
                </c:pt>
                <c:pt idx="71">
                  <c:v>184</c:v>
                </c:pt>
                <c:pt idx="72">
                  <c:v>187</c:v>
                </c:pt>
                <c:pt idx="73">
                  <c:v>190</c:v>
                </c:pt>
                <c:pt idx="74">
                  <c:v>193</c:v>
                </c:pt>
                <c:pt idx="75">
                  <c:v>196</c:v>
                </c:pt>
                <c:pt idx="76">
                  <c:v>197</c:v>
                </c:pt>
                <c:pt idx="77">
                  <c:v>198</c:v>
                </c:pt>
                <c:pt idx="78">
                  <c:v>199</c:v>
                </c:pt>
                <c:pt idx="79">
                  <c:v>200</c:v>
                </c:pt>
                <c:pt idx="80">
                  <c:v>201</c:v>
                </c:pt>
                <c:pt idx="81">
                  <c:v>202</c:v>
                </c:pt>
              </c:numCache>
            </c:numRef>
          </c:xVal>
          <c:yVal>
            <c:numRef>
              <c:f>'TOC-IC-pH'!$BF$96:$BF$177</c:f>
              <c:numCache>
                <c:formatCode>_(* #,##0.00_);_(* \(#,##0.00\);_(* "-"??_);_(@_)</c:formatCode>
                <c:ptCount val="82"/>
                <c:pt idx="0">
                  <c:v>18.632668577109769</c:v>
                </c:pt>
                <c:pt idx="2">
                  <c:v>18.801099479501723</c:v>
                </c:pt>
                <c:pt idx="3">
                  <c:v>13.549702633814784</c:v>
                </c:pt>
                <c:pt idx="4">
                  <c:v>12.547153780798642</c:v>
                </c:pt>
                <c:pt idx="5">
                  <c:v>14.779949022939679</c:v>
                </c:pt>
                <c:pt idx="6">
                  <c:v>15.175418481999541</c:v>
                </c:pt>
                <c:pt idx="7">
                  <c:v>17.768860353130016</c:v>
                </c:pt>
                <c:pt idx="8">
                  <c:v>14.621379551006166</c:v>
                </c:pt>
                <c:pt idx="9">
                  <c:v>13.790857275793879</c:v>
                </c:pt>
                <c:pt idx="10">
                  <c:v>16.66865265128947</c:v>
                </c:pt>
                <c:pt idx="11">
                  <c:v>13.817005702612988</c:v>
                </c:pt>
                <c:pt idx="12">
                  <c:v>15.027863777089783</c:v>
                </c:pt>
                <c:pt idx="13">
                  <c:v>19.958720330237355</c:v>
                </c:pt>
                <c:pt idx="14">
                  <c:v>13.538403614457833</c:v>
                </c:pt>
                <c:pt idx="15">
                  <c:v>15.998493975903614</c:v>
                </c:pt>
                <c:pt idx="19">
                  <c:v>10.907494145199061</c:v>
                </c:pt>
                <c:pt idx="20">
                  <c:v>14.879370003579524</c:v>
                </c:pt>
                <c:pt idx="21">
                  <c:v>12.057272401861352</c:v>
                </c:pt>
                <c:pt idx="22">
                  <c:v>15.164887307236064</c:v>
                </c:pt>
                <c:pt idx="23">
                  <c:v>19.039145907473312</c:v>
                </c:pt>
                <c:pt idx="24">
                  <c:v>15.344874538027625</c:v>
                </c:pt>
                <c:pt idx="25">
                  <c:v>13.787978992413928</c:v>
                </c:pt>
                <c:pt idx="26">
                  <c:v>13.829621908462052</c:v>
                </c:pt>
                <c:pt idx="27">
                  <c:v>12.585365853658539</c:v>
                </c:pt>
                <c:pt idx="28">
                  <c:v>12.624543883234105</c:v>
                </c:pt>
                <c:pt idx="29">
                  <c:v>14.956690243193487</c:v>
                </c:pt>
                <c:pt idx="30">
                  <c:v>15.490629011553272</c:v>
                </c:pt>
                <c:pt idx="31">
                  <c:v>14.240564826700899</c:v>
                </c:pt>
                <c:pt idx="32">
                  <c:v>13.207702182284979</c:v>
                </c:pt>
                <c:pt idx="33">
                  <c:v>12.46695300980832</c:v>
                </c:pt>
                <c:pt idx="34">
                  <c:v>12.64234886851721</c:v>
                </c:pt>
                <c:pt idx="35">
                  <c:v>14.823257901147507</c:v>
                </c:pt>
                <c:pt idx="36">
                  <c:v>14.270902358214775</c:v>
                </c:pt>
                <c:pt idx="37">
                  <c:v>15.879945429740793</c:v>
                </c:pt>
                <c:pt idx="38">
                  <c:v>16.749951276554281</c:v>
                </c:pt>
                <c:pt idx="39">
                  <c:v>20.903153363900067</c:v>
                </c:pt>
                <c:pt idx="40">
                  <c:v>19.908299803499578</c:v>
                </c:pt>
                <c:pt idx="41">
                  <c:v>22.466165413533833</c:v>
                </c:pt>
                <c:pt idx="42">
                  <c:v>23.729323308270676</c:v>
                </c:pt>
                <c:pt idx="43">
                  <c:v>21.045112781954888</c:v>
                </c:pt>
                <c:pt idx="44">
                  <c:v>29.792802617230105</c:v>
                </c:pt>
                <c:pt idx="45">
                  <c:v>32.955288985823337</c:v>
                </c:pt>
                <c:pt idx="46">
                  <c:v>38.300951360042873</c:v>
                </c:pt>
                <c:pt idx="47">
                  <c:v>34.948412166688996</c:v>
                </c:pt>
                <c:pt idx="48">
                  <c:v>29.642235026128898</c:v>
                </c:pt>
                <c:pt idx="49">
                  <c:v>26.410290767787746</c:v>
                </c:pt>
                <c:pt idx="50">
                  <c:v>21.415636257423813</c:v>
                </c:pt>
                <c:pt idx="51">
                  <c:v>36.21847921331905</c:v>
                </c:pt>
                <c:pt idx="52">
                  <c:v>35.931081475713029</c:v>
                </c:pt>
                <c:pt idx="53">
                  <c:v>24.047878128400438</c:v>
                </c:pt>
                <c:pt idx="54">
                  <c:v>31.969532100108811</c:v>
                </c:pt>
                <c:pt idx="55">
                  <c:v>46.758983347940408</c:v>
                </c:pt>
                <c:pt idx="56">
                  <c:v>48.273444347063986</c:v>
                </c:pt>
                <c:pt idx="57">
                  <c:v>49.120856209604561</c:v>
                </c:pt>
                <c:pt idx="58">
                  <c:v>48.058855084680815</c:v>
                </c:pt>
                <c:pt idx="59">
                  <c:v>50.746645619573798</c:v>
                </c:pt>
                <c:pt idx="60">
                  <c:v>60.74026598301554</c:v>
                </c:pt>
                <c:pt idx="61">
                  <c:v>197.76389452332657</c:v>
                </c:pt>
                <c:pt idx="62">
                  <c:v>170.06069434328722</c:v>
                </c:pt>
                <c:pt idx="63">
                  <c:v>110.3829374697043</c:v>
                </c:pt>
                <c:pt idx="64">
                  <c:v>94.72727272727272</c:v>
                </c:pt>
                <c:pt idx="65">
                  <c:v>79.323357189329855</c:v>
                </c:pt>
                <c:pt idx="66">
                  <c:v>73.832140533506831</c:v>
                </c:pt>
                <c:pt idx="67">
                  <c:v>66.196497290504979</c:v>
                </c:pt>
                <c:pt idx="68">
                  <c:v>66.724259797376902</c:v>
                </c:pt>
                <c:pt idx="69">
                  <c:v>70.895914629290431</c:v>
                </c:pt>
                <c:pt idx="70">
                  <c:v>49.086248242785082</c:v>
                </c:pt>
                <c:pt idx="71">
                  <c:v>66.917607695524893</c:v>
                </c:pt>
                <c:pt idx="72">
                  <c:v>90.287141073657921</c:v>
                </c:pt>
                <c:pt idx="73">
                  <c:v>70.887772194304858</c:v>
                </c:pt>
                <c:pt idx="74">
                  <c:v>66.887136436869326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8-4B22-BCEB-FFB40A884ED6}"/>
            </c:ext>
          </c:extLst>
        </c:ser>
        <c:ser>
          <c:idx val="1"/>
          <c:order val="2"/>
          <c:tx>
            <c:v>S4</c:v>
          </c:tx>
          <c:spPr>
            <a:ln w="3175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'TOC-IC-pH'!$B$96:$B$177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  <c:pt idx="58">
                  <c:v>138</c:v>
                </c:pt>
                <c:pt idx="59">
                  <c:v>141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152</c:v>
                </c:pt>
                <c:pt idx="64">
                  <c:v>154</c:v>
                </c:pt>
                <c:pt idx="65">
                  <c:v>156</c:v>
                </c:pt>
                <c:pt idx="66">
                  <c:v>159</c:v>
                </c:pt>
                <c:pt idx="67">
                  <c:v>170</c:v>
                </c:pt>
                <c:pt idx="68">
                  <c:v>174</c:v>
                </c:pt>
                <c:pt idx="69">
                  <c:v>177</c:v>
                </c:pt>
                <c:pt idx="70">
                  <c:v>181</c:v>
                </c:pt>
                <c:pt idx="71">
                  <c:v>184</c:v>
                </c:pt>
                <c:pt idx="72">
                  <c:v>187</c:v>
                </c:pt>
                <c:pt idx="73">
                  <c:v>190</c:v>
                </c:pt>
                <c:pt idx="74">
                  <c:v>193</c:v>
                </c:pt>
                <c:pt idx="75">
                  <c:v>196</c:v>
                </c:pt>
                <c:pt idx="76">
                  <c:v>197</c:v>
                </c:pt>
                <c:pt idx="77">
                  <c:v>198</c:v>
                </c:pt>
                <c:pt idx="78">
                  <c:v>199</c:v>
                </c:pt>
                <c:pt idx="79">
                  <c:v>200</c:v>
                </c:pt>
                <c:pt idx="80">
                  <c:v>201</c:v>
                </c:pt>
                <c:pt idx="81">
                  <c:v>202</c:v>
                </c:pt>
              </c:numCache>
            </c:numRef>
          </c:xVal>
          <c:yVal>
            <c:numRef>
              <c:f>'TOC-IC-pH'!$DE$96:$DE$177</c:f>
              <c:numCache>
                <c:formatCode>_(* #,##0.00_);_(* \(#,##0.00\);_(* "-"??_);_(@_)</c:formatCode>
                <c:ptCount val="82"/>
                <c:pt idx="19">
                  <c:v>42.639344262295076</c:v>
                </c:pt>
                <c:pt idx="20">
                  <c:v>105.25951557093424</c:v>
                </c:pt>
                <c:pt idx="21">
                  <c:v>113.03424412361295</c:v>
                </c:pt>
                <c:pt idx="22">
                  <c:v>96.536180308422303</c:v>
                </c:pt>
                <c:pt idx="23">
                  <c:v>100.06613499319198</c:v>
                </c:pt>
                <c:pt idx="24">
                  <c:v>123.26784672242755</c:v>
                </c:pt>
                <c:pt idx="25">
                  <c:v>120.84030344290994</c:v>
                </c:pt>
                <c:pt idx="26">
                  <c:v>94.972045863735431</c:v>
                </c:pt>
                <c:pt idx="27">
                  <c:v>82.896101401958902</c:v>
                </c:pt>
                <c:pt idx="28">
                  <c:v>84.555406183983095</c:v>
                </c:pt>
                <c:pt idx="29">
                  <c:v>90.712140296482886</c:v>
                </c:pt>
                <c:pt idx="30">
                  <c:v>80.734274711168155</c:v>
                </c:pt>
                <c:pt idx="31">
                  <c:v>13.313992297817713</c:v>
                </c:pt>
                <c:pt idx="32">
                  <c:v>50.002567394094996</c:v>
                </c:pt>
                <c:pt idx="33">
                  <c:v>63.557920379511508</c:v>
                </c:pt>
                <c:pt idx="34">
                  <c:v>74.727867170972502</c:v>
                </c:pt>
                <c:pt idx="35">
                  <c:v>80.335918969164695</c:v>
                </c:pt>
                <c:pt idx="36">
                  <c:v>81.90216332099007</c:v>
                </c:pt>
                <c:pt idx="37">
                  <c:v>86.18203079321772</c:v>
                </c:pt>
                <c:pt idx="38">
                  <c:v>82.159423114402671</c:v>
                </c:pt>
                <c:pt idx="39">
                  <c:v>100.63067278001311</c:v>
                </c:pt>
                <c:pt idx="40">
                  <c:v>94.095630204921861</c:v>
                </c:pt>
                <c:pt idx="41">
                  <c:v>66.609022556390983</c:v>
                </c:pt>
                <c:pt idx="43">
                  <c:v>62.706766917293237</c:v>
                </c:pt>
                <c:pt idx="44">
                  <c:v>75.223555070883322</c:v>
                </c:pt>
                <c:pt idx="45">
                  <c:v>76.68484187568157</c:v>
                </c:pt>
                <c:pt idx="46">
                  <c:v>65.748358568940091</c:v>
                </c:pt>
                <c:pt idx="47">
                  <c:v>72.308723033632575</c:v>
                </c:pt>
                <c:pt idx="48">
                  <c:v>49.902184108267456</c:v>
                </c:pt>
                <c:pt idx="49">
                  <c:v>39.072758944124338</c:v>
                </c:pt>
                <c:pt idx="50">
                  <c:v>66.361600623113603</c:v>
                </c:pt>
                <c:pt idx="51">
                  <c:v>80.84899230844124</c:v>
                </c:pt>
                <c:pt idx="52">
                  <c:v>102.20967584931373</c:v>
                </c:pt>
                <c:pt idx="53">
                  <c:v>65.092491838955397</c:v>
                </c:pt>
                <c:pt idx="54">
                  <c:v>72.208922742110985</c:v>
                </c:pt>
                <c:pt idx="55">
                  <c:v>71.510955302366355</c:v>
                </c:pt>
                <c:pt idx="56">
                  <c:v>75.013146362839606</c:v>
                </c:pt>
                <c:pt idx="57">
                  <c:v>77.192299673361603</c:v>
                </c:pt>
                <c:pt idx="58">
                  <c:v>69.062763430147896</c:v>
                </c:pt>
                <c:pt idx="59">
                  <c:v>66.961325966850822</c:v>
                </c:pt>
                <c:pt idx="60">
                  <c:v>74.96875500721039</c:v>
                </c:pt>
                <c:pt idx="61">
                  <c:v>73.022312373225148</c:v>
                </c:pt>
                <c:pt idx="62">
                  <c:v>182.74338431658168</c:v>
                </c:pt>
                <c:pt idx="63">
                  <c:v>223.17014057198253</c:v>
                </c:pt>
                <c:pt idx="64">
                  <c:v>187.92207792207796</c:v>
                </c:pt>
                <c:pt idx="65">
                  <c:v>154.68445022771633</c:v>
                </c:pt>
                <c:pt idx="66">
                  <c:v>120.62459336369548</c:v>
                </c:pt>
                <c:pt idx="67">
                  <c:v>87.74051676745465</c:v>
                </c:pt>
                <c:pt idx="68">
                  <c:v>80.829341082227288</c:v>
                </c:pt>
                <c:pt idx="69">
                  <c:v>83.873536672772147</c:v>
                </c:pt>
                <c:pt idx="70">
                  <c:v>52.460100884809393</c:v>
                </c:pt>
                <c:pt idx="71">
                  <c:v>96.562107904642417</c:v>
                </c:pt>
                <c:pt idx="72">
                  <c:v>98.210570120682476</c:v>
                </c:pt>
                <c:pt idx="73">
                  <c:v>104.52261306532662</c:v>
                </c:pt>
                <c:pt idx="74">
                  <c:v>93.207835156448738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48-4B22-BCEB-FFB40A884ED6}"/>
            </c:ext>
          </c:extLst>
        </c:ser>
        <c:ser>
          <c:idx val="3"/>
          <c:order val="3"/>
          <c:tx>
            <c:v>Sugar added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16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448-4B22-BCEB-FFB40A884ED6}"/>
            </c:ext>
          </c:extLst>
        </c:ser>
        <c:ser>
          <c:idx val="4"/>
          <c:order val="4"/>
          <c:tx>
            <c:v>Start MBR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42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448-4B22-BCEB-FFB40A884ED6}"/>
            </c:ext>
          </c:extLst>
        </c:ser>
        <c:ser>
          <c:idx val="5"/>
          <c:order val="5"/>
          <c:tx>
            <c:v>TOC/TN fixed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200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lg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127</c:v>
              </c:pt>
            </c:numLit>
          </c:xVal>
          <c:yVal>
            <c:numLit>
              <c:formatCode>General</c:formatCode>
              <c:ptCount val="1"/>
              <c:pt idx="0">
                <c:v>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831-4C4F-86B4-7F06F9A0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  <c:extLst/>
      </c:scatterChart>
      <c:valAx>
        <c:axId val="602022776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  <c:majorUnit val="10"/>
        <c:minorUnit val="5"/>
      </c:valAx>
      <c:valAx>
        <c:axId val="602017856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6339652221895656"/>
          <c:y val="8.8141651907872612E-2"/>
          <c:w val="6.339920828398482E-2"/>
          <c:h val="0.23757220907048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('TOC-IC-pH'!$B$96:$B$153,'TOC-IC-pH'!$B$154)</c:f>
              <c:numCache>
                <c:formatCode>0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  <c:pt idx="58">
                  <c:v>138</c:v>
                </c:pt>
              </c:numCache>
            </c:numRef>
          </c:xVal>
          <c:yVal>
            <c:numRef>
              <c:f>('TOC-IC-pH'!$L$96:$L$153,'TOC-IC-pH'!$L$154)</c:f>
              <c:numCache>
                <c:formatCode>_(* #,##0.00_);_(* \(#,##0.00\);_(* "-"??_);_(@_)</c:formatCode>
                <c:ptCount val="59"/>
                <c:pt idx="0">
                  <c:v>6.7836999999999996</c:v>
                </c:pt>
                <c:pt idx="1">
                  <c:v>4.2153</c:v>
                </c:pt>
                <c:pt idx="2">
                  <c:v>1.3664000000000001</c:v>
                </c:pt>
                <c:pt idx="3">
                  <c:v>1.2841</c:v>
                </c:pt>
                <c:pt idx="5">
                  <c:v>3.7103999999999999</c:v>
                </c:pt>
                <c:pt idx="6">
                  <c:v>0.75980000000000003</c:v>
                </c:pt>
                <c:pt idx="7">
                  <c:v>4.0610999999999997</c:v>
                </c:pt>
                <c:pt idx="8">
                  <c:v>9.2765000000000004</c:v>
                </c:pt>
                <c:pt idx="9">
                  <c:v>8.8484999999999996</c:v>
                </c:pt>
                <c:pt idx="13">
                  <c:v>9.5070000000000002E-2</c:v>
                </c:pt>
                <c:pt idx="14">
                  <c:v>5.5459500000000004</c:v>
                </c:pt>
                <c:pt idx="15">
                  <c:v>5.0439100000000003</c:v>
                </c:pt>
                <c:pt idx="16">
                  <c:v>4.83575</c:v>
                </c:pt>
                <c:pt idx="17">
                  <c:v>2.92239</c:v>
                </c:pt>
                <c:pt idx="18">
                  <c:v>10.046379999999999</c:v>
                </c:pt>
                <c:pt idx="19">
                  <c:v>7.7328799999999998</c:v>
                </c:pt>
                <c:pt idx="20">
                  <c:v>8.2978400000000008</c:v>
                </c:pt>
                <c:pt idx="21">
                  <c:v>5.5692500000000003</c:v>
                </c:pt>
                <c:pt idx="22">
                  <c:v>5.9288999999999996</c:v>
                </c:pt>
                <c:pt idx="23">
                  <c:v>6.8564299999999996</c:v>
                </c:pt>
                <c:pt idx="24">
                  <c:v>7.1978200000000001</c:v>
                </c:pt>
                <c:pt idx="25">
                  <c:v>4.58948</c:v>
                </c:pt>
                <c:pt idx="26">
                  <c:v>8.00563</c:v>
                </c:pt>
                <c:pt idx="27">
                  <c:v>7.2535800000000004</c:v>
                </c:pt>
                <c:pt idx="28">
                  <c:v>9.2307199999999998</c:v>
                </c:pt>
                <c:pt idx="29">
                  <c:v>7.5153999999999996</c:v>
                </c:pt>
                <c:pt idx="30">
                  <c:v>1.5773999999999999</c:v>
                </c:pt>
                <c:pt idx="31">
                  <c:v>3.6046</c:v>
                </c:pt>
                <c:pt idx="32">
                  <c:v>3.2984</c:v>
                </c:pt>
                <c:pt idx="33">
                  <c:v>3.8294999999999999</c:v>
                </c:pt>
                <c:pt idx="34">
                  <c:v>4.2058</c:v>
                </c:pt>
                <c:pt idx="35">
                  <c:v>7.3670999999999998</c:v>
                </c:pt>
                <c:pt idx="36">
                  <c:v>9.0622000000000007</c:v>
                </c:pt>
                <c:pt idx="37">
                  <c:v>5.3998999999999997</c:v>
                </c:pt>
                <c:pt idx="38">
                  <c:v>6.2343000000000002</c:v>
                </c:pt>
                <c:pt idx="39">
                  <c:v>2.3159999999999998</c:v>
                </c:pt>
                <c:pt idx="40">
                  <c:v>6.0720000000000001</c:v>
                </c:pt>
                <c:pt idx="41">
                  <c:v>11.0359</c:v>
                </c:pt>
                <c:pt idx="42">
                  <c:v>12.2835</c:v>
                </c:pt>
                <c:pt idx="43">
                  <c:v>10.3042</c:v>
                </c:pt>
                <c:pt idx="44">
                  <c:v>0.76539999999999997</c:v>
                </c:pt>
                <c:pt idx="45">
                  <c:v>4.0091000000000001</c:v>
                </c:pt>
                <c:pt idx="47">
                  <c:v>5.5530999999999997</c:v>
                </c:pt>
                <c:pt idx="49">
                  <c:v>1.3255999999999999</c:v>
                </c:pt>
                <c:pt idx="50">
                  <c:v>11.8424</c:v>
                </c:pt>
                <c:pt idx="51">
                  <c:v>8.4518000000000004</c:v>
                </c:pt>
                <c:pt idx="52">
                  <c:v>4.5876999999999999</c:v>
                </c:pt>
                <c:pt idx="53">
                  <c:v>5.6482000000000001</c:v>
                </c:pt>
                <c:pt idx="54">
                  <c:v>12.3294</c:v>
                </c:pt>
                <c:pt idx="55">
                  <c:v>8.5131999999999994</c:v>
                </c:pt>
                <c:pt idx="56">
                  <c:v>11.8497</c:v>
                </c:pt>
                <c:pt idx="57">
                  <c:v>12.217499999999999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7-4B15-855B-E512DFDF3FD8}"/>
            </c:ext>
          </c:extLst>
        </c:ser>
        <c:ser>
          <c:idx val="2"/>
          <c:order val="1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'TOC-IC-pH'!$B$96:$B$153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</c:numCache>
            </c:numRef>
          </c:xVal>
          <c:yVal>
            <c:numRef>
              <c:f>'TOC-IC-pH'!$BM$96:$BM$153</c:f>
              <c:numCache>
                <c:formatCode>_(* #,##0.00_);_(* \(#,##0.00\);_(* "-"??_);_(@_)</c:formatCode>
                <c:ptCount val="58"/>
                <c:pt idx="0">
                  <c:v>0.32479999999999998</c:v>
                </c:pt>
                <c:pt idx="1">
                  <c:v>7.7557</c:v>
                </c:pt>
                <c:pt idx="2">
                  <c:v>7.1566999999999998</c:v>
                </c:pt>
                <c:pt idx="6">
                  <c:v>10.217000000000001</c:v>
                </c:pt>
                <c:pt idx="7">
                  <c:v>18.601900000000001</c:v>
                </c:pt>
                <c:pt idx="8">
                  <c:v>9.8397000000000006</c:v>
                </c:pt>
                <c:pt idx="9">
                  <c:v>10.161099999999999</c:v>
                </c:pt>
                <c:pt idx="13">
                  <c:v>27.514769999999999</c:v>
                </c:pt>
                <c:pt idx="14">
                  <c:v>20.894580000000001</c:v>
                </c:pt>
                <c:pt idx="15">
                  <c:v>18.981459999999998</c:v>
                </c:pt>
                <c:pt idx="16">
                  <c:v>18.688939999999999</c:v>
                </c:pt>
                <c:pt idx="17">
                  <c:v>16.326650000000001</c:v>
                </c:pt>
                <c:pt idx="18">
                  <c:v>20.987549999999999</c:v>
                </c:pt>
                <c:pt idx="19">
                  <c:v>20.29871</c:v>
                </c:pt>
                <c:pt idx="20">
                  <c:v>15.585570000000001</c:v>
                </c:pt>
                <c:pt idx="21">
                  <c:v>17.823840000000001</c:v>
                </c:pt>
                <c:pt idx="22">
                  <c:v>17.219629999999999</c:v>
                </c:pt>
                <c:pt idx="23">
                  <c:v>15.00657</c:v>
                </c:pt>
                <c:pt idx="24">
                  <c:v>19.321249999999999</c:v>
                </c:pt>
                <c:pt idx="25">
                  <c:v>15.958830000000001</c:v>
                </c:pt>
                <c:pt idx="26">
                  <c:v>19.39096</c:v>
                </c:pt>
                <c:pt idx="27">
                  <c:v>19.398579999999999</c:v>
                </c:pt>
                <c:pt idx="28">
                  <c:v>20.03979</c:v>
                </c:pt>
                <c:pt idx="29">
                  <c:v>22.373799999999999</c:v>
                </c:pt>
                <c:pt idx="30">
                  <c:v>8.2538999999999998</c:v>
                </c:pt>
                <c:pt idx="32">
                  <c:v>8.1875999999999998</c:v>
                </c:pt>
                <c:pt idx="33">
                  <c:v>12.723000000000001</c:v>
                </c:pt>
                <c:pt idx="34">
                  <c:v>11.7949</c:v>
                </c:pt>
                <c:pt idx="35">
                  <c:v>11.993</c:v>
                </c:pt>
                <c:pt idx="36">
                  <c:v>2.2012999999999998</c:v>
                </c:pt>
                <c:pt idx="37">
                  <c:v>19.5685</c:v>
                </c:pt>
                <c:pt idx="38">
                  <c:v>17.240500000000001</c:v>
                </c:pt>
                <c:pt idx="40">
                  <c:v>17.814599999999999</c:v>
                </c:pt>
                <c:pt idx="41">
                  <c:v>28.8338</c:v>
                </c:pt>
                <c:pt idx="42">
                  <c:v>31.099499999999999</c:v>
                </c:pt>
                <c:pt idx="43">
                  <c:v>28.307600000000001</c:v>
                </c:pt>
                <c:pt idx="44">
                  <c:v>21.461099999999998</c:v>
                </c:pt>
                <c:pt idx="45">
                  <c:v>19.485299999999999</c:v>
                </c:pt>
                <c:pt idx="46">
                  <c:v>14.8492</c:v>
                </c:pt>
                <c:pt idx="47">
                  <c:v>19.7803</c:v>
                </c:pt>
                <c:pt idx="48">
                  <c:v>14.5055</c:v>
                </c:pt>
                <c:pt idx="49">
                  <c:v>9.3615999999999993</c:v>
                </c:pt>
                <c:pt idx="50">
                  <c:v>16.438099999999999</c:v>
                </c:pt>
                <c:pt idx="51">
                  <c:v>19.635999999999999</c:v>
                </c:pt>
                <c:pt idx="52">
                  <c:v>27.425699999999999</c:v>
                </c:pt>
                <c:pt idx="53">
                  <c:v>17.421700000000001</c:v>
                </c:pt>
                <c:pt idx="54">
                  <c:v>24.139199999999999</c:v>
                </c:pt>
                <c:pt idx="55">
                  <c:v>24.626000000000001</c:v>
                </c:pt>
                <c:pt idx="56">
                  <c:v>27.398</c:v>
                </c:pt>
                <c:pt idx="57">
                  <c:v>26.006799999999998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7-4B15-855B-E512DFDF3FD8}"/>
            </c:ext>
          </c:extLst>
        </c:ser>
        <c:ser>
          <c:idx val="1"/>
          <c:order val="2"/>
          <c:tx>
            <c:v>S4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'TOC-IC-pH'!$B$96:$B$153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51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91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131</c:v>
                </c:pt>
                <c:pt idx="57">
                  <c:v>134</c:v>
                </c:pt>
              </c:numCache>
            </c:numRef>
          </c:xVal>
          <c:yVal>
            <c:numRef>
              <c:f>'TOC-IC-pH'!$DL$96:$DL$153</c:f>
              <c:numCache>
                <c:formatCode>_(* #,##0.00_);_(* \(#,##0.00\);_(* "-"??_);_(@_)</c:formatCode>
                <c:ptCount val="58"/>
                <c:pt idx="19">
                  <c:v>1.35415</c:v>
                </c:pt>
                <c:pt idx="20">
                  <c:v>4.5307700000000004</c:v>
                </c:pt>
                <c:pt idx="21">
                  <c:v>8.1639300000000006</c:v>
                </c:pt>
                <c:pt idx="22">
                  <c:v>6.34436</c:v>
                </c:pt>
                <c:pt idx="23">
                  <c:v>6.4600600000000004</c:v>
                </c:pt>
                <c:pt idx="24">
                  <c:v>4.0334399999999997</c:v>
                </c:pt>
                <c:pt idx="25">
                  <c:v>8.7933900000000005</c:v>
                </c:pt>
                <c:pt idx="26">
                  <c:v>18.326799999999999</c:v>
                </c:pt>
                <c:pt idx="27">
                  <c:v>19.983170000000001</c:v>
                </c:pt>
                <c:pt idx="28">
                  <c:v>18.408709999999999</c:v>
                </c:pt>
                <c:pt idx="29">
                  <c:v>27.832899999999999</c:v>
                </c:pt>
                <c:pt idx="30">
                  <c:v>15.3657</c:v>
                </c:pt>
                <c:pt idx="31">
                  <c:v>7.2926000000000002</c:v>
                </c:pt>
                <c:pt idx="32">
                  <c:v>8.4105000000000008</c:v>
                </c:pt>
                <c:pt idx="33">
                  <c:v>9.3063000000000002</c:v>
                </c:pt>
                <c:pt idx="34">
                  <c:v>11.5495</c:v>
                </c:pt>
                <c:pt idx="35">
                  <c:v>5.7778</c:v>
                </c:pt>
                <c:pt idx="36">
                  <c:v>15.078200000000001</c:v>
                </c:pt>
                <c:pt idx="37">
                  <c:v>20.145499999999998</c:v>
                </c:pt>
                <c:pt idx="38">
                  <c:v>19.518699999999999</c:v>
                </c:pt>
                <c:pt idx="39">
                  <c:v>20.310600000000001</c:v>
                </c:pt>
                <c:pt idx="40">
                  <c:v>24.783100000000001</c:v>
                </c:pt>
                <c:pt idx="41">
                  <c:v>11.1241</c:v>
                </c:pt>
                <c:pt idx="43">
                  <c:v>4.6364999999999998</c:v>
                </c:pt>
                <c:pt idx="44">
                  <c:v>6.8761000000000001</c:v>
                </c:pt>
                <c:pt idx="45">
                  <c:v>9.3538999999999994</c:v>
                </c:pt>
                <c:pt idx="46">
                  <c:v>3.8473999999999999</c:v>
                </c:pt>
                <c:pt idx="47">
                  <c:v>1.6975</c:v>
                </c:pt>
                <c:pt idx="48">
                  <c:v>1.1869000000000001</c:v>
                </c:pt>
                <c:pt idx="51">
                  <c:v>3.2961</c:v>
                </c:pt>
                <c:pt idx="52">
                  <c:v>15.5768</c:v>
                </c:pt>
                <c:pt idx="53">
                  <c:v>3.8704000000000001</c:v>
                </c:pt>
                <c:pt idx="54">
                  <c:v>15.2447</c:v>
                </c:pt>
                <c:pt idx="55">
                  <c:v>19.6736</c:v>
                </c:pt>
                <c:pt idx="56">
                  <c:v>20.572099999999999</c:v>
                </c:pt>
                <c:pt idx="57">
                  <c:v>20.0351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77-4B15-855B-E512DFDF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22776"/>
        <c:axId val="602017856"/>
      </c:scatterChart>
      <c:scatterChart>
        <c:scatterStyle val="lineMarker"/>
        <c:varyColors val="0"/>
        <c:ser>
          <c:idx val="3"/>
          <c:order val="3"/>
          <c:tx>
            <c:v>Sugar added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16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577-4B15-855B-E512DFDF3FD8}"/>
            </c:ext>
          </c:extLst>
        </c:ser>
        <c:ser>
          <c:idx val="4"/>
          <c:order val="4"/>
          <c:tx>
            <c:v>Start MBR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42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577-4B15-855B-E512DFDF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7888"/>
        <c:axId val="751273136"/>
        <c:extLst/>
      </c:scatterChart>
      <c:valAx>
        <c:axId val="602022776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17856"/>
        <c:crosses val="autoZero"/>
        <c:crossBetween val="midCat"/>
        <c:majorUnit val="10"/>
        <c:minorUnit val="5"/>
      </c:valAx>
      <c:valAx>
        <c:axId val="602017856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PO4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022776"/>
        <c:crosses val="autoZero"/>
        <c:crossBetween val="midCat"/>
      </c:valAx>
      <c:valAx>
        <c:axId val="751273136"/>
        <c:scaling>
          <c:orientation val="minMax"/>
          <c:max val="100"/>
          <c:min val="0"/>
        </c:scaling>
        <c:delete val="1"/>
        <c:axPos val="r"/>
        <c:numFmt formatCode="_(* #,##0_);_(* \(#,##0\);_(* &quot;-&quot;_);_(@_)" sourceLinked="0"/>
        <c:majorTickMark val="out"/>
        <c:minorTickMark val="none"/>
        <c:tickLblPos val="nextTo"/>
        <c:crossAx val="751267888"/>
        <c:crosses val="max"/>
        <c:crossBetween val="midCat"/>
      </c:valAx>
      <c:valAx>
        <c:axId val="75126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27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7141299674829655"/>
          <c:y val="5.7753394345923789E-2"/>
          <c:w val="0.14944021731278814"/>
          <c:h val="0.1242945499660115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816344</xdr:colOff>
      <xdr:row>215</xdr:row>
      <xdr:rowOff>190374</xdr:rowOff>
    </xdr:from>
    <xdr:to>
      <xdr:col>69</xdr:col>
      <xdr:colOff>509650</xdr:colOff>
      <xdr:row>240</xdr:row>
      <xdr:rowOff>30678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1EB88-0223-495D-B2AF-7D2D191E2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639287</xdr:colOff>
      <xdr:row>215</xdr:row>
      <xdr:rowOff>26346</xdr:rowOff>
    </xdr:from>
    <xdr:to>
      <xdr:col>23</xdr:col>
      <xdr:colOff>357629</xdr:colOff>
      <xdr:row>239</xdr:row>
      <xdr:rowOff>106200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262956-0AE0-9EFB-A1A8-4143387A9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894521</xdr:colOff>
      <xdr:row>214</xdr:row>
      <xdr:rowOff>80682</xdr:rowOff>
    </xdr:from>
    <xdr:to>
      <xdr:col>1</xdr:col>
      <xdr:colOff>894521</xdr:colOff>
      <xdr:row>238</xdr:row>
      <xdr:rowOff>101858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5809B0-005E-423D-95B8-EEAB719FA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894521</xdr:colOff>
      <xdr:row>243</xdr:row>
      <xdr:rowOff>185056</xdr:rowOff>
    </xdr:from>
    <xdr:to>
      <xdr:col>1</xdr:col>
      <xdr:colOff>894521</xdr:colOff>
      <xdr:row>267</xdr:row>
      <xdr:rowOff>206232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BCAF93-9322-4F90-A767-109619970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894521</xdr:colOff>
      <xdr:row>243</xdr:row>
      <xdr:rowOff>209549</xdr:rowOff>
    </xdr:from>
    <xdr:to>
      <xdr:col>1</xdr:col>
      <xdr:colOff>894521</xdr:colOff>
      <xdr:row>268</xdr:row>
      <xdr:rowOff>13012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44C775-18D1-420E-8644-D75E4D867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243</xdr:row>
      <xdr:rowOff>32656</xdr:rowOff>
    </xdr:from>
    <xdr:to>
      <xdr:col>6</xdr:col>
      <xdr:colOff>0</xdr:colOff>
      <xdr:row>267</xdr:row>
      <xdr:rowOff>53832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AD4DEBF-2E90-4855-BC9C-9411E936A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108856</xdr:colOff>
      <xdr:row>215</xdr:row>
      <xdr:rowOff>43543</xdr:rowOff>
    </xdr:from>
    <xdr:to>
      <xdr:col>47</xdr:col>
      <xdr:colOff>34028</xdr:colOff>
      <xdr:row>239</xdr:row>
      <xdr:rowOff>123397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A8DD16-DE35-4150-8319-4800F92D5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621366</xdr:colOff>
      <xdr:row>243</xdr:row>
      <xdr:rowOff>9525</xdr:rowOff>
    </xdr:from>
    <xdr:to>
      <xdr:col>23</xdr:col>
      <xdr:colOff>322304</xdr:colOff>
      <xdr:row>267</xdr:row>
      <xdr:rowOff>89379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AECCDC-B9A2-45D9-9D17-F068D708A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961752</xdr:colOff>
      <xdr:row>298</xdr:row>
      <xdr:rowOff>90079</xdr:rowOff>
    </xdr:from>
    <xdr:to>
      <xdr:col>47</xdr:col>
      <xdr:colOff>204107</xdr:colOff>
      <xdr:row>322</xdr:row>
      <xdr:rowOff>164218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491ECC-0FE7-4162-8657-EBE178A30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961753</xdr:colOff>
      <xdr:row>323</xdr:row>
      <xdr:rowOff>133077</xdr:rowOff>
    </xdr:from>
    <xdr:to>
      <xdr:col>47</xdr:col>
      <xdr:colOff>258535</xdr:colOff>
      <xdr:row>348</xdr:row>
      <xdr:rowOff>24337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6485B7-089B-4953-85E2-3D4F146F3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0</xdr:colOff>
      <xdr:row>242</xdr:row>
      <xdr:rowOff>0</xdr:rowOff>
    </xdr:from>
    <xdr:to>
      <xdr:col>47</xdr:col>
      <xdr:colOff>27214</xdr:colOff>
      <xdr:row>266</xdr:row>
      <xdr:rowOff>79854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78F751-43B2-4CEA-A4EF-FFE84AF43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136072</xdr:colOff>
      <xdr:row>268</xdr:row>
      <xdr:rowOff>27213</xdr:rowOff>
    </xdr:from>
    <xdr:to>
      <xdr:col>47</xdr:col>
      <xdr:colOff>149678</xdr:colOff>
      <xdr:row>292</xdr:row>
      <xdr:rowOff>107067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251EB34-696B-4252-8ABF-B2B64CDDB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269</xdr:row>
      <xdr:rowOff>0</xdr:rowOff>
    </xdr:from>
    <xdr:to>
      <xdr:col>23</xdr:col>
      <xdr:colOff>354081</xdr:colOff>
      <xdr:row>293</xdr:row>
      <xdr:rowOff>79855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8CEE74E-C40C-4BB9-AEEF-67211BCB3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0</xdr:colOff>
      <xdr:row>295</xdr:row>
      <xdr:rowOff>0</xdr:rowOff>
    </xdr:from>
    <xdr:to>
      <xdr:col>23</xdr:col>
      <xdr:colOff>354081</xdr:colOff>
      <xdr:row>319</xdr:row>
      <xdr:rowOff>79855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DA64CF3-045A-4F76-A542-6C4F428DA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0</xdr:colOff>
      <xdr:row>321</xdr:row>
      <xdr:rowOff>0</xdr:rowOff>
    </xdr:from>
    <xdr:to>
      <xdr:col>23</xdr:col>
      <xdr:colOff>354081</xdr:colOff>
      <xdr:row>345</xdr:row>
      <xdr:rowOff>79854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2760104-D749-4459-9D39-BF9389DC1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73</xdr:col>
      <xdr:colOff>275953</xdr:colOff>
      <xdr:row>217</xdr:row>
      <xdr:rowOff>79466</xdr:rowOff>
    </xdr:from>
    <xdr:to>
      <xdr:col>79</xdr:col>
      <xdr:colOff>458833</xdr:colOff>
      <xdr:row>230</xdr:row>
      <xdr:rowOff>169273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6B949C-6719-7045-43CE-5675BF7A4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0</xdr:colOff>
      <xdr:row>353</xdr:row>
      <xdr:rowOff>0</xdr:rowOff>
    </xdr:from>
    <xdr:to>
      <xdr:col>23</xdr:col>
      <xdr:colOff>354081</xdr:colOff>
      <xdr:row>377</xdr:row>
      <xdr:rowOff>79854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61CD4A-9F1F-454F-A981-F2D64743B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0</xdr:colOff>
      <xdr:row>381</xdr:row>
      <xdr:rowOff>0</xdr:rowOff>
    </xdr:from>
    <xdr:to>
      <xdr:col>23</xdr:col>
      <xdr:colOff>354081</xdr:colOff>
      <xdr:row>405</xdr:row>
      <xdr:rowOff>79855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C91127F-0340-4C1C-84F5-D2AA41D41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0.07963</cdr:x>
      <cdr:y>0.0203</cdr:y>
    </cdr:from>
    <cdr:to>
      <cdr:x>0.16566</cdr:x>
      <cdr:y>0.08862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E0E2129-49BD-9B75-551B-CFCF1C8D2D69}"/>
            </a:ext>
          </a:extLst>
        </cdr:cNvPr>
        <cdr:cNvSpPr txBox="1"/>
      </cdr:nvSpPr>
      <cdr:spPr>
        <a:xfrm xmlns:a="http://schemas.openxmlformats.org/drawingml/2006/main">
          <a:off x="1022889" y="101046"/>
          <a:ext cx="1105093" cy="340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sugar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added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0.31587</cdr:x>
      <cdr:y>0.02114</cdr:y>
    </cdr:from>
    <cdr:to>
      <cdr:x>0.4019</cdr:x>
      <cdr:y>0.08946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C9ACFA7C-85CA-6973-D9F9-AB544FE734D2}"/>
            </a:ext>
          </a:extLst>
        </cdr:cNvPr>
        <cdr:cNvSpPr txBox="1"/>
      </cdr:nvSpPr>
      <cdr:spPr>
        <a:xfrm xmlns:a="http://schemas.openxmlformats.org/drawingml/2006/main">
          <a:off x="4057552" y="105263"/>
          <a:ext cx="1105093" cy="340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MBR</a:t>
          </a:r>
        </a:p>
      </cdr:txBody>
    </cdr:sp>
  </cdr:relSizeAnchor>
  <cdr:relSizeAnchor xmlns:cdr="http://schemas.openxmlformats.org/drawingml/2006/chartDrawing">
    <cdr:from>
      <cdr:x>0.84636</cdr:x>
      <cdr:y>0.03479</cdr:y>
    </cdr:from>
    <cdr:to>
      <cdr:x>0.93239</cdr:x>
      <cdr:y>0.10311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306503A-C70B-8A7B-DF45-E107043A6204}"/>
            </a:ext>
          </a:extLst>
        </cdr:cNvPr>
        <cdr:cNvSpPr txBox="1"/>
      </cdr:nvSpPr>
      <cdr:spPr>
        <a:xfrm xmlns:a="http://schemas.openxmlformats.org/drawingml/2006/main">
          <a:off x="11576050" y="173265"/>
          <a:ext cx="1176665" cy="340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TOC/TN fixed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0.07963</cdr:x>
      <cdr:y>0.0203</cdr:y>
    </cdr:from>
    <cdr:to>
      <cdr:x>0.16566</cdr:x>
      <cdr:y>0.08862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E0E2129-49BD-9B75-551B-CFCF1C8D2D69}"/>
            </a:ext>
          </a:extLst>
        </cdr:cNvPr>
        <cdr:cNvSpPr txBox="1"/>
      </cdr:nvSpPr>
      <cdr:spPr>
        <a:xfrm xmlns:a="http://schemas.openxmlformats.org/drawingml/2006/main">
          <a:off x="1022889" y="101046"/>
          <a:ext cx="1105093" cy="340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sugar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added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0.31587</cdr:x>
      <cdr:y>0.02114</cdr:y>
    </cdr:from>
    <cdr:to>
      <cdr:x>0.4019</cdr:x>
      <cdr:y>0.08946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C9ACFA7C-85CA-6973-D9F9-AB544FE734D2}"/>
            </a:ext>
          </a:extLst>
        </cdr:cNvPr>
        <cdr:cNvSpPr txBox="1"/>
      </cdr:nvSpPr>
      <cdr:spPr>
        <a:xfrm xmlns:a="http://schemas.openxmlformats.org/drawingml/2006/main">
          <a:off x="4057552" y="105263"/>
          <a:ext cx="1105093" cy="340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MBR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591633</xdr:colOff>
      <xdr:row>156</xdr:row>
      <xdr:rowOff>49954</xdr:rowOff>
    </xdr:from>
    <xdr:to>
      <xdr:col>34</xdr:col>
      <xdr:colOff>375290</xdr:colOff>
      <xdr:row>182</xdr:row>
      <xdr:rowOff>120594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185756C-C182-4C0B-8D0A-97222322D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89647</xdr:colOff>
      <xdr:row>214</xdr:row>
      <xdr:rowOff>156882</xdr:rowOff>
    </xdr:from>
    <xdr:to>
      <xdr:col>32</xdr:col>
      <xdr:colOff>233972</xdr:colOff>
      <xdr:row>240</xdr:row>
      <xdr:rowOff>182308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26224D-FDED-4514-B95A-1DDC443AD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392205</xdr:colOff>
      <xdr:row>215</xdr:row>
      <xdr:rowOff>78442</xdr:rowOff>
    </xdr:from>
    <xdr:to>
      <xdr:col>50</xdr:col>
      <xdr:colOff>77090</xdr:colOff>
      <xdr:row>241</xdr:row>
      <xdr:rowOff>103868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67F27B-E65C-4E3C-BE5B-84569AD3F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571501</xdr:colOff>
      <xdr:row>183</xdr:row>
      <xdr:rowOff>134470</xdr:rowOff>
    </xdr:from>
    <xdr:to>
      <xdr:col>34</xdr:col>
      <xdr:colOff>501138</xdr:colOff>
      <xdr:row>210</xdr:row>
      <xdr:rowOff>77539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B0EEEF58-4D62-493E-B8C1-0A40248E3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0.0863</cdr:x>
      <cdr:y>0.04863</cdr:y>
    </cdr:from>
    <cdr:to>
      <cdr:x>0.17062</cdr:x>
      <cdr:y>0.1642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5BFCB0-1BDC-03F1-A6BA-73C033B0DDB8}"/>
            </a:ext>
          </a:extLst>
        </cdr:cNvPr>
        <cdr:cNvSpPr txBox="1"/>
      </cdr:nvSpPr>
      <cdr:spPr>
        <a:xfrm xmlns:a="http://schemas.openxmlformats.org/drawingml/2006/main">
          <a:off x="930041" y="248100"/>
          <a:ext cx="908685" cy="5896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Sugar</a:t>
          </a:r>
          <a:r>
            <a:rPr lang="en-US" sz="12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added </a:t>
          </a:r>
        </a:p>
        <a:p xmlns:a="http://schemas.openxmlformats.org/drawingml/2006/main">
          <a:r>
            <a:rPr lang="en-US" sz="12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Raw WW</a:t>
          </a:r>
          <a:endParaRPr lang="en-US" sz="12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0.25326</cdr:x>
      <cdr:y>0.06589</cdr:y>
    </cdr:from>
    <cdr:to>
      <cdr:x>0.33758</cdr:x>
      <cdr:y>0.1326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BF642AE-04DD-FC2B-5862-8ABA4D25B31F}"/>
            </a:ext>
          </a:extLst>
        </cdr:cNvPr>
        <cdr:cNvSpPr txBox="1"/>
      </cdr:nvSpPr>
      <cdr:spPr>
        <a:xfrm xmlns:a="http://schemas.openxmlformats.org/drawingml/2006/main">
          <a:off x="2729296" y="336156"/>
          <a:ext cx="908685" cy="340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</a:t>
          </a:r>
          <a:r>
            <a:rPr lang="en-US" sz="12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MBR</a:t>
          </a:r>
        </a:p>
      </cdr:txBody>
    </cdr:sp>
  </cdr:relSizeAnchor>
  <cdr:relSizeAnchor xmlns:cdr="http://schemas.openxmlformats.org/drawingml/2006/chartDrawing">
    <cdr:from>
      <cdr:x>0.29256</cdr:x>
      <cdr:y>0.18781</cdr:y>
    </cdr:from>
    <cdr:to>
      <cdr:x>0.37639</cdr:x>
      <cdr:y>0.29733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563B8D5-0E73-08E4-37F8-E06DEA541CF7}"/>
            </a:ext>
          </a:extLst>
        </cdr:cNvPr>
        <cdr:cNvSpPr txBox="1"/>
      </cdr:nvSpPr>
      <cdr:spPr>
        <a:xfrm xmlns:a="http://schemas.openxmlformats.org/drawingml/2006/main">
          <a:off x="3152785" y="958206"/>
          <a:ext cx="903405" cy="558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Sludge</a:t>
          </a:r>
        </a:p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leaked 50%</a:t>
          </a:r>
        </a:p>
      </cdr:txBody>
    </cdr:sp>
  </cdr:relSizeAnchor>
  <cdr:relSizeAnchor xmlns:cdr="http://schemas.openxmlformats.org/drawingml/2006/chartDrawing">
    <cdr:from>
      <cdr:x>0.42475</cdr:x>
      <cdr:y>0.0509</cdr:y>
    </cdr:from>
    <cdr:to>
      <cdr:x>0.50285</cdr:x>
      <cdr:y>0.15076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D90BA90-D267-C554-F6B4-5C8990C879B7}"/>
            </a:ext>
          </a:extLst>
        </cdr:cNvPr>
        <cdr:cNvSpPr txBox="1"/>
      </cdr:nvSpPr>
      <cdr:spPr>
        <a:xfrm xmlns:a="http://schemas.openxmlformats.org/drawingml/2006/main">
          <a:off x="4577369" y="259677"/>
          <a:ext cx="841655" cy="509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Sludge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US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leaked 35%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0.079</cdr:x>
      <cdr:y>0.21368</cdr:y>
    </cdr:from>
    <cdr:to>
      <cdr:x>0.14683</cdr:x>
      <cdr:y>0.21424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B496962A-935A-92C5-6814-E57933F66606}"/>
            </a:ext>
          </a:extLst>
        </cdr:cNvPr>
        <cdr:cNvCxnSpPr/>
      </cdr:nvCxnSpPr>
      <cdr:spPr>
        <a:xfrm xmlns:a="http://schemas.openxmlformats.org/drawingml/2006/main">
          <a:off x="851354" y="1090213"/>
          <a:ext cx="730955" cy="2833"/>
        </a:xfrm>
        <a:prstGeom xmlns:a="http://schemas.openxmlformats.org/drawingml/2006/main" prst="straightConnector1">
          <a:avLst/>
        </a:prstGeom>
        <a:ln xmlns:a="http://schemas.openxmlformats.org/drawingml/2006/main" w="19050">
          <a:headEnd type="triangle"/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0.70348</cdr:x>
      <cdr:y>0.05608</cdr:y>
    </cdr:from>
    <cdr:to>
      <cdr:x>0.7878</cdr:x>
      <cdr:y>0.17165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476DCC6-A22C-F774-3F52-8301BB0A1FB5}"/>
            </a:ext>
          </a:extLst>
        </cdr:cNvPr>
        <cdr:cNvSpPr txBox="1"/>
      </cdr:nvSpPr>
      <cdr:spPr>
        <a:xfrm xmlns:a="http://schemas.openxmlformats.org/drawingml/2006/main">
          <a:off x="7581154" y="286124"/>
          <a:ext cx="908685" cy="5896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30L</a:t>
          </a:r>
          <a:r>
            <a:rPr lang="en-US" sz="12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 new</a:t>
          </a:r>
        </a:p>
        <a:p xmlns:a="http://schemas.openxmlformats.org/drawingml/2006/main">
          <a:r>
            <a:rPr lang="en-US" sz="12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Bio. Slud.</a:t>
          </a:r>
          <a:endParaRPr lang="en-US" sz="12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0.08883</cdr:x>
      <cdr:y>0.04901</cdr:y>
    </cdr:from>
    <cdr:to>
      <cdr:x>0.17486</cdr:x>
      <cdr:y>0.11733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E0E2129-49BD-9B75-551B-CFCF1C8D2D69}"/>
            </a:ext>
          </a:extLst>
        </cdr:cNvPr>
        <cdr:cNvSpPr txBox="1"/>
      </cdr:nvSpPr>
      <cdr:spPr>
        <a:xfrm xmlns:a="http://schemas.openxmlformats.org/drawingml/2006/main">
          <a:off x="940737" y="243998"/>
          <a:ext cx="911096" cy="340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sugar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added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0.29132</cdr:x>
      <cdr:y>0.04847</cdr:y>
    </cdr:from>
    <cdr:to>
      <cdr:x>0.37735</cdr:x>
      <cdr:y>0.11679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C9ACFA7C-85CA-6973-D9F9-AB544FE734D2}"/>
            </a:ext>
          </a:extLst>
        </cdr:cNvPr>
        <cdr:cNvSpPr txBox="1"/>
      </cdr:nvSpPr>
      <cdr:spPr>
        <a:xfrm xmlns:a="http://schemas.openxmlformats.org/drawingml/2006/main">
          <a:off x="3085193" y="241300"/>
          <a:ext cx="911081" cy="340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MBR</a:t>
          </a:r>
        </a:p>
      </cdr:txBody>
    </cdr:sp>
  </cdr:relSizeAnchor>
  <cdr:relSizeAnchor xmlns:cdr="http://schemas.openxmlformats.org/drawingml/2006/chartDrawing">
    <cdr:from>
      <cdr:x>0.55124</cdr:x>
      <cdr:y>0.04683</cdr:y>
    </cdr:from>
    <cdr:to>
      <cdr:x>0.63727</cdr:x>
      <cdr:y>0.11515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BFEF5176-E3FA-8B28-17F6-608C8D8576E1}"/>
            </a:ext>
          </a:extLst>
        </cdr:cNvPr>
        <cdr:cNvSpPr txBox="1"/>
      </cdr:nvSpPr>
      <cdr:spPr>
        <a:xfrm xmlns:a="http://schemas.openxmlformats.org/drawingml/2006/main">
          <a:off x="5837886" y="233135"/>
          <a:ext cx="911096" cy="340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Sludges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leaked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0.08883</cdr:x>
      <cdr:y>0.04901</cdr:y>
    </cdr:from>
    <cdr:to>
      <cdr:x>0.17486</cdr:x>
      <cdr:y>0.11733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E0E2129-49BD-9B75-551B-CFCF1C8D2D69}"/>
            </a:ext>
          </a:extLst>
        </cdr:cNvPr>
        <cdr:cNvSpPr txBox="1"/>
      </cdr:nvSpPr>
      <cdr:spPr>
        <a:xfrm xmlns:a="http://schemas.openxmlformats.org/drawingml/2006/main">
          <a:off x="940737" y="243998"/>
          <a:ext cx="911096" cy="340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sugar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added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0.29132</cdr:x>
      <cdr:y>0.04847</cdr:y>
    </cdr:from>
    <cdr:to>
      <cdr:x>0.37735</cdr:x>
      <cdr:y>0.11679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C9ACFA7C-85CA-6973-D9F9-AB544FE734D2}"/>
            </a:ext>
          </a:extLst>
        </cdr:cNvPr>
        <cdr:cNvSpPr txBox="1"/>
      </cdr:nvSpPr>
      <cdr:spPr>
        <a:xfrm xmlns:a="http://schemas.openxmlformats.org/drawingml/2006/main">
          <a:off x="3085193" y="241300"/>
          <a:ext cx="911081" cy="340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MBR</a:t>
          </a:r>
        </a:p>
      </cdr:txBody>
    </cdr:sp>
  </cdr:relSizeAnchor>
  <cdr:relSizeAnchor xmlns:cdr="http://schemas.openxmlformats.org/drawingml/2006/chartDrawing">
    <cdr:from>
      <cdr:x>0.55124</cdr:x>
      <cdr:y>0.04683</cdr:y>
    </cdr:from>
    <cdr:to>
      <cdr:x>0.63727</cdr:x>
      <cdr:y>0.11515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BFEF5176-E3FA-8B28-17F6-608C8D8576E1}"/>
            </a:ext>
          </a:extLst>
        </cdr:cNvPr>
        <cdr:cNvSpPr txBox="1"/>
      </cdr:nvSpPr>
      <cdr:spPr>
        <a:xfrm xmlns:a="http://schemas.openxmlformats.org/drawingml/2006/main">
          <a:off x="5837886" y="233135"/>
          <a:ext cx="911096" cy="340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Sludges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leaked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0.07229</cdr:x>
      <cdr:y>0.0613</cdr:y>
    </cdr:from>
    <cdr:to>
      <cdr:x>0.15661</cdr:x>
      <cdr:y>0.12801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5BFCB0-1BDC-03F1-A6BA-73C033B0DDB8}"/>
            </a:ext>
          </a:extLst>
        </cdr:cNvPr>
        <cdr:cNvSpPr txBox="1"/>
      </cdr:nvSpPr>
      <cdr:spPr>
        <a:xfrm xmlns:a="http://schemas.openxmlformats.org/drawingml/2006/main">
          <a:off x="789610" y="311828"/>
          <a:ext cx="920995" cy="339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Sugar added </a:t>
          </a:r>
        </a:p>
        <a:p xmlns:a="http://schemas.openxmlformats.org/drawingml/2006/main">
          <a:r>
            <a:rPr lang="en-US" sz="12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Raw WW</a:t>
          </a:r>
        </a:p>
      </cdr:txBody>
    </cdr:sp>
  </cdr:relSizeAnchor>
  <cdr:relSizeAnchor xmlns:cdr="http://schemas.openxmlformats.org/drawingml/2006/chartDrawing">
    <cdr:from>
      <cdr:x>0.25794</cdr:x>
      <cdr:y>0.06609</cdr:y>
    </cdr:from>
    <cdr:to>
      <cdr:x>0.34226</cdr:x>
      <cdr:y>0.1328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BF642AE-04DD-FC2B-5862-8ABA4D25B31F}"/>
            </a:ext>
          </a:extLst>
        </cdr:cNvPr>
        <cdr:cNvSpPr txBox="1"/>
      </cdr:nvSpPr>
      <cdr:spPr>
        <a:xfrm xmlns:a="http://schemas.openxmlformats.org/drawingml/2006/main">
          <a:off x="2817401" y="336158"/>
          <a:ext cx="920994" cy="339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</a:t>
          </a:r>
          <a:r>
            <a:rPr lang="en-US" sz="12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MBR</a:t>
          </a:r>
        </a:p>
      </cdr:txBody>
    </cdr:sp>
  </cdr:relSizeAnchor>
  <cdr:relSizeAnchor xmlns:cdr="http://schemas.openxmlformats.org/drawingml/2006/chartDrawing">
    <cdr:from>
      <cdr:x>0.29606</cdr:x>
      <cdr:y>0.16055</cdr:y>
    </cdr:from>
    <cdr:to>
      <cdr:x>0.37036</cdr:x>
      <cdr:y>0.27979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563B8D5-0E73-08E4-37F8-E06DEA541CF7}"/>
            </a:ext>
          </a:extLst>
        </cdr:cNvPr>
        <cdr:cNvSpPr txBox="1"/>
      </cdr:nvSpPr>
      <cdr:spPr>
        <a:xfrm xmlns:a="http://schemas.openxmlformats.org/drawingml/2006/main">
          <a:off x="3233755" y="816640"/>
          <a:ext cx="811550" cy="606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Sludges</a:t>
          </a:r>
        </a:p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leaked 50%</a:t>
          </a:r>
        </a:p>
      </cdr:txBody>
    </cdr:sp>
  </cdr:relSizeAnchor>
  <cdr:relSizeAnchor xmlns:cdr="http://schemas.openxmlformats.org/drawingml/2006/chartDrawing">
    <cdr:from>
      <cdr:x>0.4297</cdr:x>
      <cdr:y>0.08689</cdr:y>
    </cdr:from>
    <cdr:to>
      <cdr:x>0.51195</cdr:x>
      <cdr:y>0.17624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85BEF50-2D4D-C34F-FFDF-83FA2E821975}"/>
            </a:ext>
          </a:extLst>
        </cdr:cNvPr>
        <cdr:cNvSpPr txBox="1"/>
      </cdr:nvSpPr>
      <cdr:spPr>
        <a:xfrm xmlns:a="http://schemas.openxmlformats.org/drawingml/2006/main">
          <a:off x="4693438" y="441981"/>
          <a:ext cx="898384" cy="454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Sludges</a:t>
          </a:r>
        </a:p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leaked 35%</a:t>
          </a:r>
        </a:p>
      </cdr:txBody>
    </cdr:sp>
  </cdr:relSizeAnchor>
  <cdr:relSizeAnchor xmlns:cdr="http://schemas.openxmlformats.org/drawingml/2006/chartDrawing">
    <cdr:from>
      <cdr:x>0.0816</cdr:x>
      <cdr:y>0.23249</cdr:y>
    </cdr:from>
    <cdr:to>
      <cdr:x>0.14876</cdr:x>
      <cdr:y>0.23352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7001C54F-27AA-28AA-61BF-11118E80AF3D}"/>
            </a:ext>
          </a:extLst>
        </cdr:cNvPr>
        <cdr:cNvCxnSpPr/>
      </cdr:nvCxnSpPr>
      <cdr:spPr>
        <a:xfrm xmlns:a="http://schemas.openxmlformats.org/drawingml/2006/main">
          <a:off x="891285" y="1182576"/>
          <a:ext cx="733567" cy="5248"/>
        </a:xfrm>
        <a:prstGeom xmlns:a="http://schemas.openxmlformats.org/drawingml/2006/main" prst="straightConnector1">
          <a:avLst/>
        </a:prstGeom>
        <a:ln xmlns:a="http://schemas.openxmlformats.org/drawingml/2006/main" w="19050">
          <a:headEnd type="triangle"/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270234</xdr:colOff>
      <xdr:row>139</xdr:row>
      <xdr:rowOff>79464</xdr:rowOff>
    </xdr:from>
    <xdr:to>
      <xdr:col>31</xdr:col>
      <xdr:colOff>346816</xdr:colOff>
      <xdr:row>163</xdr:row>
      <xdr:rowOff>106242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E2ED2-2300-4E38-AAF0-882AF853B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318655</xdr:colOff>
      <xdr:row>102</xdr:row>
      <xdr:rowOff>96981</xdr:rowOff>
    </xdr:from>
    <xdr:to>
      <xdr:col>31</xdr:col>
      <xdr:colOff>395237</xdr:colOff>
      <xdr:row>138</xdr:row>
      <xdr:rowOff>127569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C4337-EF8E-4EB4-9528-363A62D02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449229</xdr:colOff>
      <xdr:row>119</xdr:row>
      <xdr:rowOff>120064</xdr:rowOff>
    </xdr:from>
    <xdr:to>
      <xdr:col>36</xdr:col>
      <xdr:colOff>387708</xdr:colOff>
      <xdr:row>143</xdr:row>
      <xdr:rowOff>136235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9B1B2-835E-4F42-BF38-613C7FD90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0.09552</cdr:x>
      <cdr:y>0.02303</cdr:y>
    </cdr:from>
    <cdr:to>
      <cdr:x>0.18155</cdr:x>
      <cdr:y>0.09135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E0E2129-49BD-9B75-551B-CFCF1C8D2D69}"/>
            </a:ext>
          </a:extLst>
        </cdr:cNvPr>
        <cdr:cNvSpPr txBox="1"/>
      </cdr:nvSpPr>
      <cdr:spPr>
        <a:xfrm xmlns:a="http://schemas.openxmlformats.org/drawingml/2006/main">
          <a:off x="1008376" y="113308"/>
          <a:ext cx="908173" cy="336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sugar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added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0.38367</cdr:x>
      <cdr:y>0.03481</cdr:y>
    </cdr:from>
    <cdr:to>
      <cdr:x>0.4697</cdr:x>
      <cdr:y>0.10313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C9ACFA7C-85CA-6973-D9F9-AB544FE734D2}"/>
            </a:ext>
          </a:extLst>
        </cdr:cNvPr>
        <cdr:cNvSpPr txBox="1"/>
      </cdr:nvSpPr>
      <cdr:spPr>
        <a:xfrm xmlns:a="http://schemas.openxmlformats.org/drawingml/2006/main">
          <a:off x="4050222" y="171276"/>
          <a:ext cx="908173" cy="336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MBR</a:t>
          </a:r>
        </a:p>
      </cdr:txBody>
    </cdr:sp>
  </cdr:relSizeAnchor>
  <cdr:relSizeAnchor xmlns:cdr="http://schemas.openxmlformats.org/drawingml/2006/chartDrawing">
    <cdr:from>
      <cdr:x>0.58823</cdr:x>
      <cdr:y>0.02615</cdr:y>
    </cdr:from>
    <cdr:to>
      <cdr:x>0.67426</cdr:x>
      <cdr:y>0.09447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BFEF5176-E3FA-8B28-17F6-608C8D8576E1}"/>
            </a:ext>
          </a:extLst>
        </cdr:cNvPr>
        <cdr:cNvSpPr txBox="1"/>
      </cdr:nvSpPr>
      <cdr:spPr>
        <a:xfrm xmlns:a="http://schemas.openxmlformats.org/drawingml/2006/main">
          <a:off x="6209647" y="128665"/>
          <a:ext cx="908173" cy="336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Sludges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leaked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0.06481</cdr:x>
      <cdr:y>0.04026</cdr:y>
    </cdr:from>
    <cdr:to>
      <cdr:x>0.15084</cdr:x>
      <cdr:y>0.10858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E0E2129-49BD-9B75-551B-CFCF1C8D2D69}"/>
            </a:ext>
          </a:extLst>
        </cdr:cNvPr>
        <cdr:cNvSpPr txBox="1"/>
      </cdr:nvSpPr>
      <cdr:spPr>
        <a:xfrm xmlns:a="http://schemas.openxmlformats.org/drawingml/2006/main">
          <a:off x="833703" y="200455"/>
          <a:ext cx="1106590" cy="340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sugar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added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0.30401</cdr:x>
      <cdr:y>0.0348</cdr:y>
    </cdr:from>
    <cdr:to>
      <cdr:x>0.39004</cdr:x>
      <cdr:y>0.10312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C9ACFA7C-85CA-6973-D9F9-AB544FE734D2}"/>
            </a:ext>
          </a:extLst>
        </cdr:cNvPr>
        <cdr:cNvSpPr txBox="1"/>
      </cdr:nvSpPr>
      <cdr:spPr>
        <a:xfrm xmlns:a="http://schemas.openxmlformats.org/drawingml/2006/main">
          <a:off x="3910488" y="173268"/>
          <a:ext cx="1106590" cy="340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MBR</a:t>
          </a:r>
        </a:p>
      </cdr:txBody>
    </cdr:sp>
  </cdr:relSizeAnchor>
  <cdr:relSizeAnchor xmlns:cdr="http://schemas.openxmlformats.org/drawingml/2006/chartDrawing">
    <cdr:from>
      <cdr:x>0.61467</cdr:x>
      <cdr:y>0.21302</cdr:y>
    </cdr:from>
    <cdr:to>
      <cdr:x>0.7007</cdr:x>
      <cdr:y>0.28134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FD8803-50B4-73BF-0810-33F62E25031A}"/>
            </a:ext>
          </a:extLst>
        </cdr:cNvPr>
        <cdr:cNvSpPr txBox="1"/>
      </cdr:nvSpPr>
      <cdr:spPr>
        <a:xfrm xmlns:a="http://schemas.openxmlformats.org/drawingml/2006/main">
          <a:off x="8202625" y="1048246"/>
          <a:ext cx="1148044" cy="336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TOC/TN fixed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894521</xdr:colOff>
      <xdr:row>180</xdr:row>
      <xdr:rowOff>80682</xdr:rowOff>
    </xdr:from>
    <xdr:to>
      <xdr:col>1</xdr:col>
      <xdr:colOff>894521</xdr:colOff>
      <xdr:row>204</xdr:row>
      <xdr:rowOff>101858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ED0662-F1BE-40FD-9628-38D5ECB44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894521</xdr:colOff>
      <xdr:row>209</xdr:row>
      <xdr:rowOff>185056</xdr:rowOff>
    </xdr:from>
    <xdr:to>
      <xdr:col>1</xdr:col>
      <xdr:colOff>894521</xdr:colOff>
      <xdr:row>233</xdr:row>
      <xdr:rowOff>206232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9D6867-9C0A-4835-9202-71A943517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894521</xdr:colOff>
      <xdr:row>209</xdr:row>
      <xdr:rowOff>209549</xdr:rowOff>
    </xdr:from>
    <xdr:to>
      <xdr:col>1</xdr:col>
      <xdr:colOff>894521</xdr:colOff>
      <xdr:row>234</xdr:row>
      <xdr:rowOff>13012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F1A542-CBD4-4C65-870B-0167C5AE6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209</xdr:row>
      <xdr:rowOff>32656</xdr:rowOff>
    </xdr:from>
    <xdr:to>
      <xdr:col>10</xdr:col>
      <xdr:colOff>0</xdr:colOff>
      <xdr:row>233</xdr:row>
      <xdr:rowOff>53832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ECAD51-A144-4DA2-8613-207C53F54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108856</xdr:colOff>
      <xdr:row>181</xdr:row>
      <xdr:rowOff>43543</xdr:rowOff>
    </xdr:from>
    <xdr:to>
      <xdr:col>51</xdr:col>
      <xdr:colOff>34028</xdr:colOff>
      <xdr:row>205</xdr:row>
      <xdr:rowOff>123397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D18BEF-4F56-45AE-AFFE-7D48B6035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961752</xdr:colOff>
      <xdr:row>264</xdr:row>
      <xdr:rowOff>90079</xdr:rowOff>
    </xdr:from>
    <xdr:to>
      <xdr:col>51</xdr:col>
      <xdr:colOff>204107</xdr:colOff>
      <xdr:row>288</xdr:row>
      <xdr:rowOff>164218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8AC3C3-AC58-4F57-915D-DD7BD1634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961753</xdr:colOff>
      <xdr:row>289</xdr:row>
      <xdr:rowOff>133077</xdr:rowOff>
    </xdr:from>
    <xdr:to>
      <xdr:col>51</xdr:col>
      <xdr:colOff>258535</xdr:colOff>
      <xdr:row>314</xdr:row>
      <xdr:rowOff>24337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DD0275-B626-4EB7-B2EA-36B846EB9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208</xdr:row>
      <xdr:rowOff>0</xdr:rowOff>
    </xdr:from>
    <xdr:to>
      <xdr:col>51</xdr:col>
      <xdr:colOff>27214</xdr:colOff>
      <xdr:row>232</xdr:row>
      <xdr:rowOff>79854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48C739-6483-410D-A9C0-878DB8583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136072</xdr:colOff>
      <xdr:row>234</xdr:row>
      <xdr:rowOff>27213</xdr:rowOff>
    </xdr:from>
    <xdr:to>
      <xdr:col>51</xdr:col>
      <xdr:colOff>149678</xdr:colOff>
      <xdr:row>258</xdr:row>
      <xdr:rowOff>107067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C2B69E-B460-4083-8148-98A97B762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324666</xdr:colOff>
      <xdr:row>156</xdr:row>
      <xdr:rowOff>54429</xdr:rowOff>
    </xdr:from>
    <xdr:to>
      <xdr:col>115</xdr:col>
      <xdr:colOff>530677</xdr:colOff>
      <xdr:row>195</xdr:row>
      <xdr:rowOff>54427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4356B19-6A81-42D6-9973-F48AE9ED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303167</xdr:colOff>
      <xdr:row>196</xdr:row>
      <xdr:rowOff>25309</xdr:rowOff>
    </xdr:from>
    <xdr:to>
      <xdr:col>115</xdr:col>
      <xdr:colOff>509178</xdr:colOff>
      <xdr:row>235</xdr:row>
      <xdr:rowOff>19592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178E5FB-DAF2-4567-B505-88921BC51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116</xdr:col>
      <xdr:colOff>237308</xdr:colOff>
      <xdr:row>199</xdr:row>
      <xdr:rowOff>176620</xdr:rowOff>
    </xdr:from>
    <xdr:to>
      <xdr:col>161</xdr:col>
      <xdr:colOff>165189</xdr:colOff>
      <xdr:row>230</xdr:row>
      <xdr:rowOff>182608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7F58472-82E6-C368-9F67-7E80BC577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116</xdr:col>
      <xdr:colOff>213904</xdr:colOff>
      <xdr:row>164</xdr:row>
      <xdr:rowOff>97156</xdr:rowOff>
    </xdr:from>
    <xdr:to>
      <xdr:col>161</xdr:col>
      <xdr:colOff>137975</xdr:colOff>
      <xdr:row>195</xdr:row>
      <xdr:rowOff>99334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501ABDE-35A4-4FCE-B310-21452DDE5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0.07007</cdr:x>
      <cdr:y>0.05587</cdr:y>
    </cdr:from>
    <cdr:to>
      <cdr:x>0.1561</cdr:x>
      <cdr:y>0.12419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E0E2129-49BD-9B75-551B-CFCF1C8D2D69}"/>
            </a:ext>
          </a:extLst>
        </cdr:cNvPr>
        <cdr:cNvSpPr txBox="1"/>
      </cdr:nvSpPr>
      <cdr:spPr>
        <a:xfrm xmlns:a="http://schemas.openxmlformats.org/drawingml/2006/main">
          <a:off x="824047" y="277807"/>
          <a:ext cx="1011792" cy="339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sugar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added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0.31541</cdr:x>
      <cdr:y>0.05123</cdr:y>
    </cdr:from>
    <cdr:to>
      <cdr:x>0.40144</cdr:x>
      <cdr:y>0.11955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C9ACFA7C-85CA-6973-D9F9-AB544FE734D2}"/>
            </a:ext>
          </a:extLst>
        </cdr:cNvPr>
        <cdr:cNvSpPr txBox="1"/>
      </cdr:nvSpPr>
      <cdr:spPr>
        <a:xfrm xmlns:a="http://schemas.openxmlformats.org/drawingml/2006/main">
          <a:off x="3709493" y="254742"/>
          <a:ext cx="1011792" cy="339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MBR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0.09552</cdr:x>
      <cdr:y>0.02303</cdr:y>
    </cdr:from>
    <cdr:to>
      <cdr:x>0.18155</cdr:x>
      <cdr:y>0.09135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E0E2129-49BD-9B75-551B-CFCF1C8D2D69}"/>
            </a:ext>
          </a:extLst>
        </cdr:cNvPr>
        <cdr:cNvSpPr txBox="1"/>
      </cdr:nvSpPr>
      <cdr:spPr>
        <a:xfrm xmlns:a="http://schemas.openxmlformats.org/drawingml/2006/main">
          <a:off x="1008376" y="113308"/>
          <a:ext cx="908173" cy="336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sugar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added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0.38367</cdr:x>
      <cdr:y>0.03481</cdr:y>
    </cdr:from>
    <cdr:to>
      <cdr:x>0.4697</cdr:x>
      <cdr:y>0.10313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C9ACFA7C-85CA-6973-D9F9-AB544FE734D2}"/>
            </a:ext>
          </a:extLst>
        </cdr:cNvPr>
        <cdr:cNvSpPr txBox="1"/>
      </cdr:nvSpPr>
      <cdr:spPr>
        <a:xfrm xmlns:a="http://schemas.openxmlformats.org/drawingml/2006/main">
          <a:off x="4050222" y="171276"/>
          <a:ext cx="908173" cy="336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MBR</a:t>
          </a:r>
        </a:p>
      </cdr:txBody>
    </cdr:sp>
  </cdr:relSizeAnchor>
  <cdr:relSizeAnchor xmlns:cdr="http://schemas.openxmlformats.org/drawingml/2006/chartDrawing">
    <cdr:from>
      <cdr:x>0.58823</cdr:x>
      <cdr:y>0.02615</cdr:y>
    </cdr:from>
    <cdr:to>
      <cdr:x>0.67426</cdr:x>
      <cdr:y>0.09447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BFEF5176-E3FA-8B28-17F6-608C8D8576E1}"/>
            </a:ext>
          </a:extLst>
        </cdr:cNvPr>
        <cdr:cNvSpPr txBox="1"/>
      </cdr:nvSpPr>
      <cdr:spPr>
        <a:xfrm xmlns:a="http://schemas.openxmlformats.org/drawingml/2006/main">
          <a:off x="6209647" y="128665"/>
          <a:ext cx="908173" cy="336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Sludges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leaked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300037</xdr:colOff>
      <xdr:row>15</xdr:row>
      <xdr:rowOff>147637</xdr:rowOff>
    </xdr:from>
    <xdr:to>
      <xdr:col>15</xdr:col>
      <xdr:colOff>604837</xdr:colOff>
      <xdr:row>30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5067E-E01A-6E26-6A8D-C425FD0D4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15</xdr:row>
      <xdr:rowOff>161925</xdr:rowOff>
    </xdr:from>
    <xdr:to>
      <xdr:col>23</xdr:col>
      <xdr:colOff>495300</xdr:colOff>
      <xdr:row>31</xdr:row>
      <xdr:rowOff>5715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5D241-23A0-4536-B19F-9A1077C21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15</xdr:row>
      <xdr:rowOff>142875</xdr:rowOff>
    </xdr:from>
    <xdr:to>
      <xdr:col>8</xdr:col>
      <xdr:colOff>15240</xdr:colOff>
      <xdr:row>30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E52999-8196-44AD-B86B-E72BC2549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0.61737</cdr:x>
      <cdr:y>0.14013</cdr:y>
    </cdr:from>
    <cdr:to>
      <cdr:x>0.71768</cdr:x>
      <cdr:y>0.20845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F108D04-ED41-192B-E727-B6A7BA3ED88C}"/>
            </a:ext>
          </a:extLst>
        </cdr:cNvPr>
        <cdr:cNvSpPr txBox="1"/>
      </cdr:nvSpPr>
      <cdr:spPr>
        <a:xfrm xmlns:a="http://schemas.openxmlformats.org/drawingml/2006/main">
          <a:off x="7065683" y="689536"/>
          <a:ext cx="1148044" cy="336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TOC/TN fixed</a:t>
          </a:r>
          <a:endParaRPr lang="en-US" sz="12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0.72116</cdr:x>
      <cdr:y>0.13785</cdr:y>
    </cdr:from>
    <cdr:to>
      <cdr:x>0.82147</cdr:x>
      <cdr:y>0.20617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915B7C5-428C-D140-CD37-E85D918DB4C1}"/>
            </a:ext>
          </a:extLst>
        </cdr:cNvPr>
        <cdr:cNvSpPr txBox="1"/>
      </cdr:nvSpPr>
      <cdr:spPr>
        <a:xfrm xmlns:a="http://schemas.openxmlformats.org/drawingml/2006/main">
          <a:off x="8253506" y="678329"/>
          <a:ext cx="1148044" cy="336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added 30L of</a:t>
          </a:r>
        </a:p>
        <a:p xmlns:a="http://schemas.openxmlformats.org/drawingml/2006/main">
          <a:r>
            <a:rPr lang="en-US" sz="120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Bio. Slud.</a:t>
          </a:r>
          <a:endParaRPr lang="en-US" sz="12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0.07963</cdr:x>
      <cdr:y>0.0203</cdr:y>
    </cdr:from>
    <cdr:to>
      <cdr:x>0.16566</cdr:x>
      <cdr:y>0.08862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E0E2129-49BD-9B75-551B-CFCF1C8D2D69}"/>
            </a:ext>
          </a:extLst>
        </cdr:cNvPr>
        <cdr:cNvSpPr txBox="1"/>
      </cdr:nvSpPr>
      <cdr:spPr>
        <a:xfrm xmlns:a="http://schemas.openxmlformats.org/drawingml/2006/main">
          <a:off x="1022889" y="101046"/>
          <a:ext cx="1105093" cy="340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sugar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added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0.31587</cdr:x>
      <cdr:y>0.02114</cdr:y>
    </cdr:from>
    <cdr:to>
      <cdr:x>0.4019</cdr:x>
      <cdr:y>0.08946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C9ACFA7C-85CA-6973-D9F9-AB544FE734D2}"/>
            </a:ext>
          </a:extLst>
        </cdr:cNvPr>
        <cdr:cNvSpPr txBox="1"/>
      </cdr:nvSpPr>
      <cdr:spPr>
        <a:xfrm xmlns:a="http://schemas.openxmlformats.org/drawingml/2006/main">
          <a:off x="4057552" y="105263"/>
          <a:ext cx="1105093" cy="340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MBR</a:t>
          </a:r>
        </a:p>
      </cdr:txBody>
    </cdr:sp>
  </cdr:relSizeAnchor>
  <cdr:relSizeAnchor xmlns:cdr="http://schemas.openxmlformats.org/drawingml/2006/chartDrawing">
    <cdr:from>
      <cdr:x>0.63784</cdr:x>
      <cdr:y>0.09172</cdr:y>
    </cdr:from>
    <cdr:to>
      <cdr:x>0.72387</cdr:x>
      <cdr:y>0.16004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306503A-C70B-8A7B-DF45-E107043A6204}"/>
            </a:ext>
          </a:extLst>
        </cdr:cNvPr>
        <cdr:cNvSpPr txBox="1"/>
      </cdr:nvSpPr>
      <cdr:spPr>
        <a:xfrm xmlns:a="http://schemas.openxmlformats.org/drawingml/2006/main">
          <a:off x="8500628" y="451341"/>
          <a:ext cx="1146547" cy="336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TOC/TN fixed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0.83118</cdr:x>
      <cdr:y>0.0331</cdr:y>
    </cdr:from>
    <cdr:to>
      <cdr:x>0.91721</cdr:x>
      <cdr:y>0.10142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6D84FE1-404A-3EBC-7769-1DD5C031DA70}"/>
            </a:ext>
          </a:extLst>
        </cdr:cNvPr>
        <cdr:cNvSpPr txBox="1"/>
      </cdr:nvSpPr>
      <cdr:spPr>
        <a:xfrm xmlns:a="http://schemas.openxmlformats.org/drawingml/2006/main">
          <a:off x="11077388" y="162860"/>
          <a:ext cx="1146547" cy="336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TN=430mg/L</a:t>
          </a:r>
        </a:p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on day 187 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0.07007</cdr:x>
      <cdr:y>0.05587</cdr:y>
    </cdr:from>
    <cdr:to>
      <cdr:x>0.1561</cdr:x>
      <cdr:y>0.12419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E0E2129-49BD-9B75-551B-CFCF1C8D2D69}"/>
            </a:ext>
          </a:extLst>
        </cdr:cNvPr>
        <cdr:cNvSpPr txBox="1"/>
      </cdr:nvSpPr>
      <cdr:spPr>
        <a:xfrm xmlns:a="http://schemas.openxmlformats.org/drawingml/2006/main">
          <a:off x="824047" y="277807"/>
          <a:ext cx="1011792" cy="339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sugar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added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0.31541</cdr:x>
      <cdr:y>0.05123</cdr:y>
    </cdr:from>
    <cdr:to>
      <cdr:x>0.40144</cdr:x>
      <cdr:y>0.11955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C9ACFA7C-85CA-6973-D9F9-AB544FE734D2}"/>
            </a:ext>
          </a:extLst>
        </cdr:cNvPr>
        <cdr:cNvSpPr txBox="1"/>
      </cdr:nvSpPr>
      <cdr:spPr>
        <a:xfrm xmlns:a="http://schemas.openxmlformats.org/drawingml/2006/main">
          <a:off x="3709493" y="254742"/>
          <a:ext cx="1011792" cy="339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MBR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0.09552</cdr:x>
      <cdr:y>0.02303</cdr:y>
    </cdr:from>
    <cdr:to>
      <cdr:x>0.18155</cdr:x>
      <cdr:y>0.09135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E0E2129-49BD-9B75-551B-CFCF1C8D2D69}"/>
            </a:ext>
          </a:extLst>
        </cdr:cNvPr>
        <cdr:cNvSpPr txBox="1"/>
      </cdr:nvSpPr>
      <cdr:spPr>
        <a:xfrm xmlns:a="http://schemas.openxmlformats.org/drawingml/2006/main">
          <a:off x="1008376" y="113308"/>
          <a:ext cx="908173" cy="336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sugar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added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0.38367</cdr:x>
      <cdr:y>0.03481</cdr:y>
    </cdr:from>
    <cdr:to>
      <cdr:x>0.4697</cdr:x>
      <cdr:y>0.10313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C9ACFA7C-85CA-6973-D9F9-AB544FE734D2}"/>
            </a:ext>
          </a:extLst>
        </cdr:cNvPr>
        <cdr:cNvSpPr txBox="1"/>
      </cdr:nvSpPr>
      <cdr:spPr>
        <a:xfrm xmlns:a="http://schemas.openxmlformats.org/drawingml/2006/main">
          <a:off x="4050222" y="171276"/>
          <a:ext cx="908173" cy="336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MBR</a:t>
          </a:r>
        </a:p>
      </cdr:txBody>
    </cdr:sp>
  </cdr:relSizeAnchor>
  <cdr:relSizeAnchor xmlns:cdr="http://schemas.openxmlformats.org/drawingml/2006/chartDrawing">
    <cdr:from>
      <cdr:x>0.58823</cdr:x>
      <cdr:y>0.02615</cdr:y>
    </cdr:from>
    <cdr:to>
      <cdr:x>0.67426</cdr:x>
      <cdr:y>0.09447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BFEF5176-E3FA-8B28-17F6-608C8D8576E1}"/>
            </a:ext>
          </a:extLst>
        </cdr:cNvPr>
        <cdr:cNvSpPr txBox="1"/>
      </cdr:nvSpPr>
      <cdr:spPr>
        <a:xfrm xmlns:a="http://schemas.openxmlformats.org/drawingml/2006/main">
          <a:off x="6209647" y="128665"/>
          <a:ext cx="908173" cy="336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Sludges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leaked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0.07963</cdr:x>
      <cdr:y>0.0203</cdr:y>
    </cdr:from>
    <cdr:to>
      <cdr:x>0.16566</cdr:x>
      <cdr:y>0.08862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E0E2129-49BD-9B75-551B-CFCF1C8D2D69}"/>
            </a:ext>
          </a:extLst>
        </cdr:cNvPr>
        <cdr:cNvSpPr txBox="1"/>
      </cdr:nvSpPr>
      <cdr:spPr>
        <a:xfrm xmlns:a="http://schemas.openxmlformats.org/drawingml/2006/main">
          <a:off x="1022889" y="101046"/>
          <a:ext cx="1105093" cy="340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sugar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added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0.31587</cdr:x>
      <cdr:y>0.02114</cdr:y>
    </cdr:from>
    <cdr:to>
      <cdr:x>0.4019</cdr:x>
      <cdr:y>0.08946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C9ACFA7C-85CA-6973-D9F9-AB544FE734D2}"/>
            </a:ext>
          </a:extLst>
        </cdr:cNvPr>
        <cdr:cNvSpPr txBox="1"/>
      </cdr:nvSpPr>
      <cdr:spPr>
        <a:xfrm xmlns:a="http://schemas.openxmlformats.org/drawingml/2006/main">
          <a:off x="4057552" y="105263"/>
          <a:ext cx="1105093" cy="340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MBR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0.07963</cdr:x>
      <cdr:y>0.0203</cdr:y>
    </cdr:from>
    <cdr:to>
      <cdr:x>0.16566</cdr:x>
      <cdr:y>0.08862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E0E2129-49BD-9B75-551B-CFCF1C8D2D69}"/>
            </a:ext>
          </a:extLst>
        </cdr:cNvPr>
        <cdr:cNvSpPr txBox="1"/>
      </cdr:nvSpPr>
      <cdr:spPr>
        <a:xfrm xmlns:a="http://schemas.openxmlformats.org/drawingml/2006/main">
          <a:off x="1022889" y="101046"/>
          <a:ext cx="1105093" cy="340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sugar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added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0.31587</cdr:x>
      <cdr:y>0.02114</cdr:y>
    </cdr:from>
    <cdr:to>
      <cdr:x>0.4019</cdr:x>
      <cdr:y>0.08946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C9ACFA7C-85CA-6973-D9F9-AB544FE734D2}"/>
            </a:ext>
          </a:extLst>
        </cdr:cNvPr>
        <cdr:cNvSpPr txBox="1"/>
      </cdr:nvSpPr>
      <cdr:spPr>
        <a:xfrm xmlns:a="http://schemas.openxmlformats.org/drawingml/2006/main">
          <a:off x="4057552" y="105263"/>
          <a:ext cx="1105093" cy="340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MBR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0.07963</cdr:x>
      <cdr:y>0.0203</cdr:y>
    </cdr:from>
    <cdr:to>
      <cdr:x>0.16566</cdr:x>
      <cdr:y>0.08862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E0E2129-49BD-9B75-551B-CFCF1C8D2D69}"/>
            </a:ext>
          </a:extLst>
        </cdr:cNvPr>
        <cdr:cNvSpPr txBox="1"/>
      </cdr:nvSpPr>
      <cdr:spPr>
        <a:xfrm xmlns:a="http://schemas.openxmlformats.org/drawingml/2006/main">
          <a:off x="1022889" y="101046"/>
          <a:ext cx="1105093" cy="340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sugar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added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0.31587</cdr:x>
      <cdr:y>0.02114</cdr:y>
    </cdr:from>
    <cdr:to>
      <cdr:x>0.4019</cdr:x>
      <cdr:y>0.08946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C9ACFA7C-85CA-6973-D9F9-AB544FE734D2}"/>
            </a:ext>
          </a:extLst>
        </cdr:cNvPr>
        <cdr:cNvSpPr txBox="1"/>
      </cdr:nvSpPr>
      <cdr:spPr>
        <a:xfrm xmlns:a="http://schemas.openxmlformats.org/drawingml/2006/main">
          <a:off x="4057552" y="105263"/>
          <a:ext cx="1105093" cy="340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MBR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Vu Luong" id="{B16497AC-BE46-4BD6-A352-1531F9D4F97D}" userId="S::vu.luong@lut.fi::db7a7241-2e65-4511-a7b3-4b42aae20776" providerId="AD"/>
  <person displayName="Jussi Lahti" id="{D5B72703-8B3F-4F9C-A502-E1E8E39093BE}" userId="S::jussi.lahti@lut.fi::e7787b92-0f0b-43d1-a6c9-3bd8dde9143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47" dT="2022-02-25T11:26:22.86" personId="{D5B72703-8B3F-4F9C-A502-E1E8E39093BE}" id="{8FD21960-6625-4604-A2F6-DBEA3C829A85}">
    <text>Mari made from unfiltrated samples</text>
  </threadedComment>
  <threadedComment ref="U50" dT="2022-02-25T11:26:10.02" personId="{D5B72703-8B3F-4F9C-A502-E1E8E39093BE}" id="{050D8648-9959-4DF7-B2D8-2F52BB5E7855}">
    <text>Mari made from unfiltrated samples</text>
  </threadedComment>
  <threadedComment ref="A52" dT="2022-02-15T07:11:16.66" personId="{D5B72703-8B3F-4F9C-A502-E1E8E39093BE}" id="{BF17CF47-EEA1-4A1E-BA09-F95B5E5BBCF1}">
    <text>15.2. manual dilution corrected samples 25.1.-8.2.</text>
  </threadedComment>
  <threadedComment ref="A52" dT="2022-02-16T08:20:03.22" personId="{B16497AC-BE46-4BD6-A352-1531F9D4F97D}" id="{F6EC15F3-D78F-49D8-8B4E-D8C3FB6FA0ED}" parentId="{BF17CF47-EEA1-4A1E-BA09-F95B5E5BBCF1}">
    <text>Vu will correct the TOC/TN value according to standard</text>
  </threadedComment>
  <threadedComment ref="A55" dT="2022-03-10T12:20:58.34" personId="{D5B72703-8B3F-4F9C-A502-E1E8E39093BE}" id="{1495A119-FEC5-482C-8978-C2DB4C9F0092}">
    <text>Jussi corrected according standards</text>
  </threadedComment>
  <threadedComment ref="A55" dT="2022-03-24T10:40:34.03" personId="{D5B72703-8B3F-4F9C-A502-E1E8E39093BE}" id="{D7763FB0-59D8-48D5-A955-F2B3D43713DE}" parentId="{1495A119-FEC5-482C-8978-C2DB4C9F0092}">
    <text>afterward</text>
  </threadedComment>
  <threadedComment ref="U55" dT="2022-02-25T11:27:58.26" personId="{D5B72703-8B3F-4F9C-A502-E1E8E39093BE}" id="{A49A35E0-8ABD-4C23-8BD1-4A6564EDAEA1}">
    <text>Made from sentrifuged and filtrated samples</text>
  </threadedComment>
  <threadedComment ref="A57" dT="2022-03-24T10:42:39.47" personId="{D5B72703-8B3F-4F9C-A502-E1E8E39093BE}" id="{44C24610-4AE7-4BBA-AB17-DAC1C330DF51}">
    <text xml:space="preserve">Submersible pump problems </text>
  </threadedComment>
  <threadedComment ref="A58" dT="2022-03-24T10:42:46.49" personId="{D5B72703-8B3F-4F9C-A502-E1E8E39093BE}" id="{6DDC4DF3-3AF1-457F-B806-841DDED4F2D4}">
    <text>Submersible pump problems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Y47" dT="2022-02-25T11:26:22.86" personId="{D5B72703-8B3F-4F9C-A502-E1E8E39093BE}" id="{E8584A08-3306-48BF-A759-A0F42A95B49B}">
    <text>Mari made from unfiltrated samples</text>
  </threadedComment>
  <threadedComment ref="Y50" dT="2022-02-25T11:26:10.02" personId="{D5B72703-8B3F-4F9C-A502-E1E8E39093BE}" id="{BDDC59DD-9DE3-49EF-96A6-62A8415B679F}">
    <text>Mari made from unfiltrated samples</text>
  </threadedComment>
  <threadedComment ref="A52" dT="2022-02-15T07:11:16.66" personId="{D5B72703-8B3F-4F9C-A502-E1E8E39093BE}" id="{47154A4E-12A8-44F2-A6DD-E6020140C302}">
    <text>15.2. manual dilution corrected samples 25.1.-8.2.</text>
  </threadedComment>
  <threadedComment ref="A52" dT="2022-02-16T08:20:03.22" personId="{B16497AC-BE46-4BD6-A352-1531F9D4F97D}" id="{738A828F-33FC-45D6-B4CC-B1D5DF4C6B29}" parentId="{47154A4E-12A8-44F2-A6DD-E6020140C302}">
    <text>Vu will correct the TOC/TN value according to standard</text>
  </threadedComment>
  <threadedComment ref="A55" dT="2022-03-10T12:20:58.34" personId="{D5B72703-8B3F-4F9C-A502-E1E8E39093BE}" id="{FDFF6C74-33EC-4666-A064-E1137A9E130A}">
    <text>Jussi corrected according standards</text>
  </threadedComment>
  <threadedComment ref="A55" dT="2022-03-24T10:40:34.03" personId="{D5B72703-8B3F-4F9C-A502-E1E8E39093BE}" id="{05A63ADA-FF3A-49A8-BB15-23B150BE1466}" parentId="{FDFF6C74-33EC-4666-A064-E1137A9E130A}">
    <text>afterward</text>
  </threadedComment>
  <threadedComment ref="Y55" dT="2022-02-25T11:27:58.26" personId="{D5B72703-8B3F-4F9C-A502-E1E8E39093BE}" id="{68935A67-0186-480A-A829-48ECCD4CE9C2}">
    <text>Made from sentrifuged and filtrated samples</text>
  </threadedComment>
  <threadedComment ref="A57" dT="2022-03-24T10:42:39.47" personId="{D5B72703-8B3F-4F9C-A502-E1E8E39093BE}" id="{29A061C3-E10B-418B-A0EB-864D2D9018BD}">
    <text xml:space="preserve">Submersible pump problems </text>
  </threadedComment>
  <threadedComment ref="A58" dT="2022-03-24T10:42:46.49" personId="{D5B72703-8B3F-4F9C-A502-E1E8E39093BE}" id="{7C605C5B-8846-4A4A-ABED-0567ABFED2D9}">
    <text>Submersible pump problems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222"/>
  <sheetViews>
    <sheetView tabSelected="1" zoomScale="70" zoomScaleNormal="70" workbookViewId="0">
      <pane xSplit="1" ySplit="3" topLeftCell="B91" activePane="bottomRight" state="frozen"/>
      <selection pane="topRight" activeCell="B1" sqref="B1"/>
      <selection pane="bottomLeft" activeCell="A4" sqref="A4"/>
      <selection pane="bottomRight" activeCell="G165" sqref="G165:S165"/>
    </sheetView>
  </sheetViews>
  <sheetFormatPr defaultColWidth="9.109375" defaultRowHeight="15.6" x14ac:dyDescent="0.3"/>
  <cols>
    <col min="1" max="1" width="13.44140625" style="52" bestFit="1" customWidth="1"/>
    <col min="2" max="2" width="13.44140625" style="52" customWidth="1"/>
    <col min="3" max="3" width="9.6640625" style="69" customWidth="1"/>
    <col min="4" max="4" width="9" style="69" customWidth="1"/>
    <col min="5" max="5" width="9.33203125" style="69" bestFit="1" customWidth="1"/>
    <col min="6" max="6" width="11.109375" style="69" customWidth="1"/>
    <col min="7" max="7" width="9" style="70" customWidth="1"/>
    <col min="8" max="9" width="6.6640625" style="70" customWidth="1"/>
    <col min="10" max="11" width="8.6640625" style="70" customWidth="1"/>
    <col min="12" max="12" width="8.5546875" style="70" customWidth="1"/>
    <col min="13" max="13" width="9.109375" style="70" customWidth="1"/>
    <col min="14" max="19" width="10.33203125" style="71" customWidth="1"/>
    <col min="20" max="20" width="10.109375" style="79" customWidth="1"/>
    <col min="21" max="21" width="12.88671875" style="119" customWidth="1"/>
    <col min="22" max="22" width="12" style="119" customWidth="1"/>
    <col min="23" max="28" width="11.109375" style="79" customWidth="1"/>
    <col min="29" max="29" width="14.44140625" style="168" customWidth="1"/>
    <col min="30" max="30" width="7.33203125" style="74" customWidth="1"/>
    <col min="31" max="32" width="9.6640625" style="69" customWidth="1"/>
    <col min="33" max="33" width="8.5546875" style="69" customWidth="1"/>
    <col min="34" max="34" width="9.33203125" style="69" customWidth="1"/>
    <col min="35" max="35" width="8.5546875" style="70" customWidth="1"/>
    <col min="36" max="36" width="8.6640625" style="70" customWidth="1"/>
    <col min="37" max="37" width="8.5546875" style="70" customWidth="1"/>
    <col min="38" max="39" width="8.109375" style="70" customWidth="1"/>
    <col min="40" max="44" width="10.33203125" style="71" customWidth="1"/>
    <col min="45" max="45" width="10.109375" style="79" customWidth="1"/>
    <col min="46" max="46" width="12.88671875" style="136" customWidth="1"/>
    <col min="47" max="47" width="12" style="136" customWidth="1"/>
    <col min="48" max="49" width="15.109375" style="136" customWidth="1"/>
    <col min="50" max="53" width="10.109375" style="79" customWidth="1"/>
    <col min="54" max="54" width="13.5546875" style="168" customWidth="1"/>
    <col min="55" max="55" width="7.33203125" style="74" customWidth="1"/>
    <col min="56" max="59" width="9.6640625" style="69" customWidth="1"/>
    <col min="60" max="60" width="8.5546875" style="70" customWidth="1"/>
    <col min="61" max="62" width="8.5546875" style="70" bestFit="1" customWidth="1"/>
    <col min="63" max="64" width="7.33203125" style="70" customWidth="1"/>
    <col min="65" max="66" width="8.109375" style="70" customWidth="1"/>
    <col min="67" max="72" width="10.33203125" style="71" customWidth="1"/>
    <col min="73" max="73" width="10.109375" style="79" customWidth="1"/>
    <col min="74" max="74" width="11.5546875" style="79" customWidth="1"/>
    <col min="75" max="75" width="12" style="79" customWidth="1"/>
    <col min="76" max="80" width="10.109375" style="79" customWidth="1"/>
    <col min="81" max="81" width="14.44140625" style="168" customWidth="1"/>
    <col min="82" max="82" width="7.33203125" style="74" customWidth="1"/>
    <col min="83" max="83" width="8.88671875" style="130" customWidth="1"/>
    <col min="84" max="84" width="9" style="130" bestFit="1" customWidth="1"/>
    <col min="85" max="85" width="9.6640625" style="130" customWidth="1"/>
    <col min="86" max="86" width="8.5546875" style="130" customWidth="1"/>
    <col min="87" max="88" width="7.33203125" style="131" customWidth="1"/>
    <col min="89" max="89" width="7.88671875" style="178" bestFit="1" customWidth="1"/>
    <col min="90" max="90" width="9.6640625" style="132" customWidth="1"/>
    <col min="91" max="91" width="7.88671875" style="131" customWidth="1"/>
    <col min="92" max="92" width="10.5546875" style="133" customWidth="1"/>
    <col min="93" max="94" width="7.88671875" style="133" customWidth="1"/>
    <col min="95" max="95" width="7.33203125" style="133" customWidth="1"/>
    <col min="96" max="96" width="9" style="133" customWidth="1"/>
    <col min="97" max="98" width="7.33203125" style="80" customWidth="1"/>
    <col min="99" max="99" width="12" style="80" customWidth="1"/>
    <col min="100" max="103" width="7.33203125" style="80" customWidth="1"/>
    <col min="104" max="104" width="12.6640625" style="80" customWidth="1"/>
    <col min="105" max="105" width="13.5546875" style="173" customWidth="1"/>
    <col min="106" max="106" width="7.33203125" style="134" customWidth="1"/>
    <col min="107" max="107" width="8.88671875" style="130" customWidth="1"/>
    <col min="108" max="108" width="8.5546875" style="130" customWidth="1"/>
    <col min="109" max="109" width="9.6640625" style="130" customWidth="1"/>
    <col min="110" max="110" width="8.5546875" style="130" customWidth="1"/>
    <col min="111" max="111" width="7.88671875" style="132" customWidth="1"/>
    <col min="112" max="113" width="7.33203125" style="132" customWidth="1"/>
    <col min="114" max="114" width="7.88671875" style="178" customWidth="1"/>
    <col min="115" max="115" width="9" style="178" customWidth="1"/>
    <col min="116" max="116" width="8.88671875" style="132" bestFit="1" customWidth="1"/>
    <col min="117" max="117" width="9" style="132" bestFit="1" customWidth="1"/>
    <col min="118" max="118" width="7.88671875" style="175" customWidth="1"/>
    <col min="119" max="119" width="7.33203125" style="175" customWidth="1"/>
    <col min="120" max="120" width="7.88671875" style="181" customWidth="1"/>
    <col min="121" max="121" width="7.5546875" style="181" bestFit="1" customWidth="1"/>
    <col min="122" max="122" width="7.5546875" style="175" bestFit="1" customWidth="1"/>
    <col min="123" max="123" width="7.88671875" style="181" bestFit="1" customWidth="1"/>
    <col min="124" max="124" width="9.33203125" style="80" customWidth="1"/>
    <col min="125" max="125" width="7.88671875" style="118" bestFit="1" customWidth="1"/>
    <col min="126" max="126" width="10.33203125" style="118" customWidth="1"/>
    <col min="127" max="127" width="7.5546875" style="190" bestFit="1" customWidth="1"/>
    <col min="128" max="128" width="7.33203125" style="118" customWidth="1"/>
    <col min="129" max="129" width="8.88671875" style="189" bestFit="1" customWidth="1"/>
    <col min="130" max="130" width="14.33203125" style="173" customWidth="1"/>
    <col min="131" max="131" width="7.33203125" style="185" customWidth="1"/>
    <col min="132" max="135" width="10.6640625" style="118" customWidth="1"/>
    <col min="136" max="136" width="15.33203125" style="118" customWidth="1"/>
    <col min="137" max="137" width="9.109375" style="80" customWidth="1"/>
    <col min="138" max="138" width="12.6640625" style="80" customWidth="1"/>
    <col min="139" max="139" width="9.109375" style="80" customWidth="1"/>
    <col min="140" max="140" width="9.109375" style="118" customWidth="1"/>
    <col min="141" max="141" width="15.33203125" style="80" customWidth="1"/>
    <col min="142" max="145" width="9.109375" style="80" customWidth="1"/>
    <col min="146" max="147" width="14.6640625" style="80" customWidth="1"/>
    <col min="148" max="16384" width="9.109375" style="80"/>
  </cols>
  <sheetData>
    <row r="1" spans="1:146" s="54" customFormat="1" x14ac:dyDescent="0.3">
      <c r="A1" s="52"/>
      <c r="B1" s="52"/>
      <c r="C1" s="195" t="s">
        <v>0</v>
      </c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6" t="s">
        <v>1</v>
      </c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5" t="s">
        <v>2</v>
      </c>
      <c r="BE1" s="195"/>
      <c r="BF1" s="195"/>
      <c r="BG1" s="195"/>
      <c r="BH1" s="195"/>
      <c r="BI1" s="195"/>
      <c r="BJ1" s="195"/>
      <c r="BK1" s="195"/>
      <c r="BL1" s="195"/>
      <c r="BM1" s="195"/>
      <c r="BN1" s="195"/>
      <c r="BO1" s="195"/>
      <c r="BP1" s="195"/>
      <c r="BQ1" s="195"/>
      <c r="BR1" s="195"/>
      <c r="BS1" s="195"/>
      <c r="BT1" s="195"/>
      <c r="BU1" s="195"/>
      <c r="BV1" s="195"/>
      <c r="BW1" s="195"/>
      <c r="BX1" s="195"/>
      <c r="BY1" s="195"/>
      <c r="BZ1" s="195"/>
      <c r="CA1" s="195"/>
      <c r="CB1" s="195"/>
      <c r="CC1" s="195"/>
      <c r="CD1" s="195"/>
      <c r="CE1" s="195" t="s">
        <v>53</v>
      </c>
      <c r="CF1" s="195"/>
      <c r="CG1" s="195"/>
      <c r="CH1" s="195"/>
      <c r="CI1" s="195"/>
      <c r="CJ1" s="195"/>
      <c r="CK1" s="195"/>
      <c r="CL1" s="195"/>
      <c r="CM1" s="195"/>
      <c r="CN1" s="195"/>
      <c r="CO1" s="195"/>
      <c r="CP1" s="195"/>
      <c r="CQ1" s="195"/>
      <c r="CR1" s="195"/>
      <c r="CS1" s="195"/>
      <c r="CT1" s="195"/>
      <c r="CU1" s="195"/>
      <c r="CV1" s="195"/>
      <c r="CW1" s="195"/>
      <c r="CX1" s="195"/>
      <c r="CY1" s="195"/>
      <c r="CZ1" s="195"/>
      <c r="DA1" s="195"/>
      <c r="DB1" s="195"/>
      <c r="DC1" s="195" t="s">
        <v>54</v>
      </c>
      <c r="DD1" s="195"/>
      <c r="DE1" s="195"/>
      <c r="DF1" s="195"/>
      <c r="DG1" s="195"/>
      <c r="DH1" s="195"/>
      <c r="DI1" s="195"/>
      <c r="DJ1" s="195"/>
      <c r="DK1" s="195"/>
      <c r="DL1" s="195"/>
      <c r="DM1" s="195"/>
      <c r="DN1" s="195"/>
      <c r="DO1" s="195"/>
      <c r="DP1" s="195"/>
      <c r="DQ1" s="195"/>
      <c r="DR1" s="195"/>
      <c r="DS1" s="195"/>
      <c r="DT1" s="195"/>
      <c r="DU1" s="195"/>
      <c r="DV1" s="195"/>
      <c r="DW1" s="195"/>
      <c r="DX1" s="195"/>
      <c r="DY1" s="195"/>
      <c r="DZ1" s="195"/>
      <c r="EA1" s="195"/>
      <c r="EB1" s="194" t="s">
        <v>61</v>
      </c>
      <c r="EC1" s="194"/>
      <c r="ED1" s="194"/>
      <c r="EE1" s="194"/>
      <c r="EF1" s="53"/>
      <c r="EG1" s="194" t="s">
        <v>111</v>
      </c>
      <c r="EH1" s="194"/>
      <c r="EI1" s="194"/>
      <c r="EJ1" s="194"/>
      <c r="EK1" s="53"/>
      <c r="EL1" s="194" t="s">
        <v>85</v>
      </c>
      <c r="EM1" s="194"/>
      <c r="EN1" s="194"/>
      <c r="EO1" s="194"/>
      <c r="EP1" s="53"/>
    </row>
    <row r="2" spans="1:146" s="54" customFormat="1" x14ac:dyDescent="0.3">
      <c r="A2" s="52"/>
      <c r="B2" s="52"/>
      <c r="C2" s="198" t="s">
        <v>3</v>
      </c>
      <c r="D2" s="198"/>
      <c r="E2" s="198"/>
      <c r="F2" s="198"/>
      <c r="G2" s="197" t="s">
        <v>4</v>
      </c>
      <c r="H2" s="197"/>
      <c r="I2" s="197"/>
      <c r="J2" s="197"/>
      <c r="K2" s="197"/>
      <c r="L2" s="197"/>
      <c r="M2" s="197"/>
      <c r="N2" s="199" t="s">
        <v>5</v>
      </c>
      <c r="O2" s="199"/>
      <c r="P2" s="199"/>
      <c r="Q2" s="199"/>
      <c r="R2" s="199"/>
      <c r="S2" s="199"/>
      <c r="T2" s="191" t="s">
        <v>6</v>
      </c>
      <c r="U2" s="192"/>
      <c r="V2" s="192"/>
      <c r="W2" s="192"/>
      <c r="X2" s="192"/>
      <c r="Y2" s="192"/>
      <c r="Z2" s="192"/>
      <c r="AA2" s="192"/>
      <c r="AB2" s="193"/>
      <c r="AC2" s="166"/>
      <c r="AD2" s="55" t="s">
        <v>7</v>
      </c>
      <c r="AE2" s="198" t="s">
        <v>3</v>
      </c>
      <c r="AF2" s="198"/>
      <c r="AG2" s="198"/>
      <c r="AH2" s="198"/>
      <c r="AI2" s="197" t="s">
        <v>4</v>
      </c>
      <c r="AJ2" s="197"/>
      <c r="AK2" s="197"/>
      <c r="AL2" s="197"/>
      <c r="AM2" s="197"/>
      <c r="AN2" s="199" t="s">
        <v>5</v>
      </c>
      <c r="AO2" s="199"/>
      <c r="AP2" s="199"/>
      <c r="AQ2" s="199"/>
      <c r="AR2" s="199"/>
      <c r="AS2" s="200" t="s">
        <v>6</v>
      </c>
      <c r="AT2" s="200"/>
      <c r="AU2" s="200"/>
      <c r="AV2" s="200"/>
      <c r="AW2" s="200"/>
      <c r="AX2" s="200"/>
      <c r="AY2" s="56"/>
      <c r="AZ2" s="56"/>
      <c r="BA2" s="56"/>
      <c r="BB2" s="170"/>
      <c r="BC2" s="55" t="s">
        <v>7</v>
      </c>
      <c r="BD2" s="202" t="s">
        <v>3</v>
      </c>
      <c r="BE2" s="202"/>
      <c r="BF2" s="202"/>
      <c r="BG2" s="202"/>
      <c r="BH2" s="197" t="s">
        <v>4</v>
      </c>
      <c r="BI2" s="197"/>
      <c r="BJ2" s="197"/>
      <c r="BK2" s="197"/>
      <c r="BL2" s="197"/>
      <c r="BM2" s="197"/>
      <c r="BN2" s="197"/>
      <c r="BO2" s="199" t="s">
        <v>5</v>
      </c>
      <c r="BP2" s="199"/>
      <c r="BQ2" s="199"/>
      <c r="BR2" s="199"/>
      <c r="BS2" s="199"/>
      <c r="BT2" s="199"/>
      <c r="BU2" s="191" t="s">
        <v>6</v>
      </c>
      <c r="BV2" s="192"/>
      <c r="BW2" s="192"/>
      <c r="BX2" s="192"/>
      <c r="BY2" s="192"/>
      <c r="BZ2" s="192"/>
      <c r="CA2" s="192"/>
      <c r="CB2" s="193"/>
      <c r="CC2" s="166"/>
      <c r="CD2" s="55" t="s">
        <v>7</v>
      </c>
      <c r="CE2" s="202" t="s">
        <v>3</v>
      </c>
      <c r="CF2" s="202"/>
      <c r="CG2" s="202"/>
      <c r="CH2" s="202"/>
      <c r="CI2" s="197" t="s">
        <v>4</v>
      </c>
      <c r="CJ2" s="197"/>
      <c r="CK2" s="197"/>
      <c r="CL2" s="197"/>
      <c r="CM2" s="197"/>
      <c r="CN2" s="199" t="s">
        <v>5</v>
      </c>
      <c r="CO2" s="199"/>
      <c r="CP2" s="199"/>
      <c r="CQ2" s="199"/>
      <c r="CR2" s="199"/>
      <c r="CS2" s="191" t="s">
        <v>6</v>
      </c>
      <c r="CT2" s="192"/>
      <c r="CU2" s="192"/>
      <c r="CV2" s="192"/>
      <c r="CW2" s="192"/>
      <c r="CX2" s="192"/>
      <c r="CY2" s="192"/>
      <c r="CZ2" s="193"/>
      <c r="DA2" s="166"/>
      <c r="DB2" s="55" t="s">
        <v>7</v>
      </c>
      <c r="DC2" s="202" t="s">
        <v>3</v>
      </c>
      <c r="DD2" s="202"/>
      <c r="DE2" s="202"/>
      <c r="DF2" s="202"/>
      <c r="DG2" s="197" t="s">
        <v>4</v>
      </c>
      <c r="DH2" s="197"/>
      <c r="DI2" s="197"/>
      <c r="DJ2" s="197"/>
      <c r="DK2" s="197"/>
      <c r="DL2" s="197"/>
      <c r="DM2" s="197"/>
      <c r="DN2" s="199" t="s">
        <v>5</v>
      </c>
      <c r="DO2" s="199"/>
      <c r="DP2" s="199"/>
      <c r="DQ2" s="199"/>
      <c r="DR2" s="199"/>
      <c r="DS2" s="199"/>
      <c r="DT2" s="191" t="s">
        <v>6</v>
      </c>
      <c r="DU2" s="192"/>
      <c r="DV2" s="192"/>
      <c r="DW2" s="192"/>
      <c r="DX2" s="192"/>
      <c r="DY2" s="193"/>
      <c r="DZ2" s="166"/>
      <c r="EA2" s="184" t="s">
        <v>7</v>
      </c>
      <c r="EB2" s="194" t="s">
        <v>3</v>
      </c>
      <c r="EC2" s="194"/>
      <c r="ED2" s="194"/>
      <c r="EE2" s="194"/>
      <c r="EF2" s="53"/>
      <c r="EG2" s="194" t="s">
        <v>3</v>
      </c>
      <c r="EH2" s="194"/>
      <c r="EI2" s="194"/>
      <c r="EJ2" s="194"/>
      <c r="EK2" s="53"/>
      <c r="EL2" s="194" t="s">
        <v>3</v>
      </c>
      <c r="EM2" s="194"/>
      <c r="EN2" s="194"/>
      <c r="EO2" s="194"/>
      <c r="EP2" s="53"/>
    </row>
    <row r="3" spans="1:146" s="54" customFormat="1" x14ac:dyDescent="0.3">
      <c r="A3" s="52"/>
      <c r="B3" s="52"/>
      <c r="C3" s="57" t="s">
        <v>8</v>
      </c>
      <c r="D3" s="57" t="s">
        <v>9</v>
      </c>
      <c r="E3" s="57" t="s">
        <v>10</v>
      </c>
      <c r="F3" s="57" t="s">
        <v>11</v>
      </c>
      <c r="G3" s="65" t="s">
        <v>12</v>
      </c>
      <c r="H3" s="58" t="s">
        <v>13</v>
      </c>
      <c r="I3" s="58" t="s">
        <v>103</v>
      </c>
      <c r="J3" s="58" t="s">
        <v>14</v>
      </c>
      <c r="K3" s="58" t="s">
        <v>73</v>
      </c>
      <c r="L3" s="65" t="s">
        <v>15</v>
      </c>
      <c r="M3" s="58" t="s">
        <v>16</v>
      </c>
      <c r="N3" s="59" t="s">
        <v>17</v>
      </c>
      <c r="O3" s="59" t="s">
        <v>74</v>
      </c>
      <c r="P3" s="59" t="s">
        <v>18</v>
      </c>
      <c r="Q3" s="59" t="s">
        <v>19</v>
      </c>
      <c r="R3" s="59" t="s">
        <v>20</v>
      </c>
      <c r="S3" s="59" t="s">
        <v>21</v>
      </c>
      <c r="T3" s="60" t="s">
        <v>100</v>
      </c>
      <c r="U3" s="61" t="s">
        <v>99</v>
      </c>
      <c r="V3" s="61" t="s">
        <v>96</v>
      </c>
      <c r="W3" s="53" t="s">
        <v>52</v>
      </c>
      <c r="X3" s="60" t="s">
        <v>101</v>
      </c>
      <c r="Y3" s="60" t="s">
        <v>92</v>
      </c>
      <c r="Z3" s="60" t="s">
        <v>98</v>
      </c>
      <c r="AA3" s="60" t="s">
        <v>94</v>
      </c>
      <c r="AB3" s="60" t="s">
        <v>95</v>
      </c>
      <c r="AC3" s="167" t="s">
        <v>55</v>
      </c>
      <c r="AD3" s="55"/>
      <c r="AE3" s="62" t="s">
        <v>8</v>
      </c>
      <c r="AF3" s="62" t="s">
        <v>9</v>
      </c>
      <c r="AG3" s="62" t="s">
        <v>10</v>
      </c>
      <c r="AH3" s="57" t="s">
        <v>11</v>
      </c>
      <c r="AI3" s="58" t="s">
        <v>12</v>
      </c>
      <c r="AJ3" s="58" t="s">
        <v>13</v>
      </c>
      <c r="AK3" s="58" t="s">
        <v>14</v>
      </c>
      <c r="AL3" s="58" t="s">
        <v>15</v>
      </c>
      <c r="AM3" s="58" t="s">
        <v>16</v>
      </c>
      <c r="AN3" s="59" t="s">
        <v>17</v>
      </c>
      <c r="AO3" s="59" t="s">
        <v>18</v>
      </c>
      <c r="AP3" s="59" t="s">
        <v>19</v>
      </c>
      <c r="AQ3" s="59" t="s">
        <v>20</v>
      </c>
      <c r="AR3" s="59" t="s">
        <v>21</v>
      </c>
      <c r="AS3" s="60" t="s">
        <v>22</v>
      </c>
      <c r="AT3" s="63" t="s">
        <v>99</v>
      </c>
      <c r="AU3" s="61" t="s">
        <v>96</v>
      </c>
      <c r="AV3" s="63" t="s">
        <v>45</v>
      </c>
      <c r="AW3" s="63" t="s">
        <v>46</v>
      </c>
      <c r="AX3" s="60" t="s">
        <v>101</v>
      </c>
      <c r="AY3" s="60" t="s">
        <v>92</v>
      </c>
      <c r="AZ3" s="60" t="s">
        <v>94</v>
      </c>
      <c r="BA3" s="60" t="s">
        <v>95</v>
      </c>
      <c r="BB3" s="171" t="s">
        <v>55</v>
      </c>
      <c r="BC3" s="55"/>
      <c r="BD3" s="57" t="s">
        <v>8</v>
      </c>
      <c r="BE3" s="57" t="s">
        <v>9</v>
      </c>
      <c r="BF3" s="57" t="s">
        <v>10</v>
      </c>
      <c r="BG3" s="57" t="s">
        <v>11</v>
      </c>
      <c r="BH3" s="58" t="s">
        <v>12</v>
      </c>
      <c r="BI3" s="58" t="s">
        <v>13</v>
      </c>
      <c r="BJ3" s="58" t="s">
        <v>103</v>
      </c>
      <c r="BK3" s="58" t="s">
        <v>14</v>
      </c>
      <c r="BL3" s="58" t="s">
        <v>73</v>
      </c>
      <c r="BM3" s="58" t="s">
        <v>15</v>
      </c>
      <c r="BN3" s="58" t="s">
        <v>16</v>
      </c>
      <c r="BO3" s="59" t="s">
        <v>17</v>
      </c>
      <c r="BP3" s="59" t="s">
        <v>74</v>
      </c>
      <c r="BQ3" s="59" t="s">
        <v>18</v>
      </c>
      <c r="BR3" s="59" t="s">
        <v>19</v>
      </c>
      <c r="BS3" s="59" t="s">
        <v>20</v>
      </c>
      <c r="BT3" s="59" t="s">
        <v>21</v>
      </c>
      <c r="BU3" s="60" t="s">
        <v>100</v>
      </c>
      <c r="BV3" s="60" t="s">
        <v>99</v>
      </c>
      <c r="BW3" s="61" t="s">
        <v>96</v>
      </c>
      <c r="BX3" s="60" t="s">
        <v>52</v>
      </c>
      <c r="BY3" s="60" t="s">
        <v>101</v>
      </c>
      <c r="BZ3" s="60" t="s">
        <v>93</v>
      </c>
      <c r="CA3" s="60" t="s">
        <v>94</v>
      </c>
      <c r="CB3" s="60" t="s">
        <v>95</v>
      </c>
      <c r="CC3" s="167" t="s">
        <v>55</v>
      </c>
      <c r="CD3" s="55"/>
      <c r="CE3" s="62" t="s">
        <v>8</v>
      </c>
      <c r="CF3" s="62" t="s">
        <v>9</v>
      </c>
      <c r="CG3" s="62" t="s">
        <v>10</v>
      </c>
      <c r="CH3" s="64" t="s">
        <v>11</v>
      </c>
      <c r="CI3" s="58" t="s">
        <v>12</v>
      </c>
      <c r="CJ3" s="58" t="s">
        <v>13</v>
      </c>
      <c r="CK3" s="176" t="s">
        <v>14</v>
      </c>
      <c r="CL3" s="65" t="s">
        <v>15</v>
      </c>
      <c r="CM3" s="58" t="s">
        <v>16</v>
      </c>
      <c r="CN3" s="59" t="s">
        <v>17</v>
      </c>
      <c r="CO3" s="59" t="s">
        <v>18</v>
      </c>
      <c r="CP3" s="59" t="s">
        <v>19</v>
      </c>
      <c r="CQ3" s="59" t="s">
        <v>20</v>
      </c>
      <c r="CR3" s="59" t="s">
        <v>21</v>
      </c>
      <c r="CS3" s="60" t="s">
        <v>22</v>
      </c>
      <c r="CT3" s="60" t="s">
        <v>23</v>
      </c>
      <c r="CU3" s="61" t="s">
        <v>96</v>
      </c>
      <c r="CV3" s="60" t="s">
        <v>52</v>
      </c>
      <c r="CW3" s="60" t="s">
        <v>10</v>
      </c>
      <c r="CX3" s="60" t="s">
        <v>92</v>
      </c>
      <c r="CY3" s="60" t="s">
        <v>94</v>
      </c>
      <c r="CZ3" s="60" t="s">
        <v>95</v>
      </c>
      <c r="DA3" s="167" t="s">
        <v>55</v>
      </c>
      <c r="DB3" s="67"/>
      <c r="DC3" s="57" t="s">
        <v>8</v>
      </c>
      <c r="DD3" s="57" t="s">
        <v>9</v>
      </c>
      <c r="DE3" s="57" t="s">
        <v>10</v>
      </c>
      <c r="DF3" s="57" t="s">
        <v>11</v>
      </c>
      <c r="DG3" s="65" t="s">
        <v>12</v>
      </c>
      <c r="DH3" s="65" t="s">
        <v>13</v>
      </c>
      <c r="DI3" s="65" t="s">
        <v>103</v>
      </c>
      <c r="DJ3" s="176" t="s">
        <v>14</v>
      </c>
      <c r="DK3" s="176" t="s">
        <v>73</v>
      </c>
      <c r="DL3" s="65" t="s">
        <v>15</v>
      </c>
      <c r="DM3" s="65" t="s">
        <v>16</v>
      </c>
      <c r="DN3" s="174" t="s">
        <v>17</v>
      </c>
      <c r="DO3" s="174" t="s">
        <v>74</v>
      </c>
      <c r="DP3" s="179" t="s">
        <v>18</v>
      </c>
      <c r="DQ3" s="179" t="s">
        <v>19</v>
      </c>
      <c r="DR3" s="174" t="s">
        <v>20</v>
      </c>
      <c r="DS3" s="179" t="s">
        <v>21</v>
      </c>
      <c r="DT3" s="60" t="s">
        <v>22</v>
      </c>
      <c r="DU3" s="53" t="s">
        <v>23</v>
      </c>
      <c r="DV3" s="53" t="s">
        <v>52</v>
      </c>
      <c r="DW3" s="61" t="s">
        <v>10</v>
      </c>
      <c r="DX3" s="53" t="s">
        <v>97</v>
      </c>
      <c r="DY3" s="63" t="s">
        <v>15</v>
      </c>
      <c r="DZ3" s="167" t="s">
        <v>55</v>
      </c>
      <c r="EA3" s="74"/>
      <c r="EB3" s="68" t="s">
        <v>8</v>
      </c>
      <c r="EC3" s="68" t="s">
        <v>9</v>
      </c>
      <c r="ED3" s="68" t="s">
        <v>10</v>
      </c>
      <c r="EE3" s="68" t="s">
        <v>11</v>
      </c>
      <c r="EF3" s="53" t="s">
        <v>46</v>
      </c>
      <c r="EG3" s="68" t="s">
        <v>8</v>
      </c>
      <c r="EH3" s="68" t="s">
        <v>9</v>
      </c>
      <c r="EI3" s="68" t="s">
        <v>10</v>
      </c>
      <c r="EJ3" s="68" t="s">
        <v>11</v>
      </c>
      <c r="EK3" s="53" t="s">
        <v>46</v>
      </c>
      <c r="EL3" s="68" t="s">
        <v>8</v>
      </c>
      <c r="EM3" s="68" t="s">
        <v>9</v>
      </c>
      <c r="EN3" s="68" t="s">
        <v>10</v>
      </c>
      <c r="EO3" s="68" t="s">
        <v>11</v>
      </c>
      <c r="EP3" s="53" t="s">
        <v>46</v>
      </c>
    </row>
    <row r="4" spans="1:146" s="54" customFormat="1" x14ac:dyDescent="0.3">
      <c r="A4" s="52"/>
      <c r="B4" s="52"/>
      <c r="C4" s="57" t="s">
        <v>24</v>
      </c>
      <c r="D4" s="57" t="s">
        <v>24</v>
      </c>
      <c r="E4" s="57" t="s">
        <v>24</v>
      </c>
      <c r="F4" s="57" t="s">
        <v>24</v>
      </c>
      <c r="G4" s="65" t="s">
        <v>24</v>
      </c>
      <c r="H4" s="58" t="s">
        <v>24</v>
      </c>
      <c r="I4" s="58"/>
      <c r="J4" s="58" t="s">
        <v>24</v>
      </c>
      <c r="K4" s="58"/>
      <c r="L4" s="65" t="s">
        <v>24</v>
      </c>
      <c r="M4" s="58" t="s">
        <v>24</v>
      </c>
      <c r="N4" s="59" t="s">
        <v>24</v>
      </c>
      <c r="O4" s="59" t="s">
        <v>24</v>
      </c>
      <c r="P4" s="59" t="s">
        <v>24</v>
      </c>
      <c r="Q4" s="59" t="s">
        <v>24</v>
      </c>
      <c r="R4" s="59" t="s">
        <v>24</v>
      </c>
      <c r="S4" s="59" t="s">
        <v>24</v>
      </c>
      <c r="T4" s="60" t="s">
        <v>24</v>
      </c>
      <c r="U4" s="61" t="s">
        <v>24</v>
      </c>
      <c r="V4" s="61"/>
      <c r="W4" s="53"/>
      <c r="X4" s="60" t="s">
        <v>24</v>
      </c>
      <c r="Y4" s="60"/>
      <c r="Z4" s="60"/>
      <c r="AA4" s="60"/>
      <c r="AB4" s="60"/>
      <c r="AC4" s="167" t="s">
        <v>56</v>
      </c>
      <c r="AD4" s="55"/>
      <c r="AE4" s="62" t="s">
        <v>24</v>
      </c>
      <c r="AF4" s="62" t="s">
        <v>24</v>
      </c>
      <c r="AG4" s="62" t="s">
        <v>24</v>
      </c>
      <c r="AH4" s="57" t="s">
        <v>24</v>
      </c>
      <c r="AI4" s="58" t="s">
        <v>24</v>
      </c>
      <c r="AJ4" s="58" t="s">
        <v>24</v>
      </c>
      <c r="AK4" s="58" t="s">
        <v>24</v>
      </c>
      <c r="AL4" s="58" t="s">
        <v>24</v>
      </c>
      <c r="AM4" s="58" t="s">
        <v>24</v>
      </c>
      <c r="AN4" s="59" t="s">
        <v>24</v>
      </c>
      <c r="AO4" s="59" t="s">
        <v>24</v>
      </c>
      <c r="AP4" s="59" t="s">
        <v>24</v>
      </c>
      <c r="AQ4" s="59" t="s">
        <v>24</v>
      </c>
      <c r="AR4" s="59" t="s">
        <v>24</v>
      </c>
      <c r="AS4" s="60" t="s">
        <v>24</v>
      </c>
      <c r="AT4" s="63" t="s">
        <v>24</v>
      </c>
      <c r="AU4" s="63"/>
      <c r="AV4" s="63" t="s">
        <v>24</v>
      </c>
      <c r="AW4" s="63"/>
      <c r="AX4" s="60" t="s">
        <v>24</v>
      </c>
      <c r="AY4" s="60"/>
      <c r="AZ4" s="60"/>
      <c r="BA4" s="60"/>
      <c r="BB4" s="171" t="s">
        <v>56</v>
      </c>
      <c r="BC4" s="55"/>
      <c r="BD4" s="57" t="s">
        <v>24</v>
      </c>
      <c r="BE4" s="57" t="s">
        <v>24</v>
      </c>
      <c r="BF4" s="57" t="s">
        <v>24</v>
      </c>
      <c r="BG4" s="57" t="s">
        <v>24</v>
      </c>
      <c r="BH4" s="58" t="s">
        <v>24</v>
      </c>
      <c r="BI4" s="58" t="s">
        <v>24</v>
      </c>
      <c r="BJ4" s="58"/>
      <c r="BK4" s="58" t="s">
        <v>24</v>
      </c>
      <c r="BL4" s="58" t="s">
        <v>24</v>
      </c>
      <c r="BM4" s="58" t="s">
        <v>24</v>
      </c>
      <c r="BN4" s="58" t="s">
        <v>24</v>
      </c>
      <c r="BO4" s="59" t="s">
        <v>24</v>
      </c>
      <c r="BP4" s="59" t="s">
        <v>24</v>
      </c>
      <c r="BQ4" s="59" t="s">
        <v>24</v>
      </c>
      <c r="BR4" s="59" t="s">
        <v>24</v>
      </c>
      <c r="BS4" s="59" t="s">
        <v>24</v>
      </c>
      <c r="BT4" s="59" t="s">
        <v>24</v>
      </c>
      <c r="BU4" s="60" t="s">
        <v>24</v>
      </c>
      <c r="BV4" s="60" t="s">
        <v>24</v>
      </c>
      <c r="BW4" s="60"/>
      <c r="BX4" s="60"/>
      <c r="BY4" s="60" t="s">
        <v>24</v>
      </c>
      <c r="BZ4" s="60"/>
      <c r="CA4" s="60"/>
      <c r="CB4" s="60"/>
      <c r="CC4" s="167" t="s">
        <v>56</v>
      </c>
      <c r="CD4" s="55"/>
      <c r="CE4" s="62" t="s">
        <v>24</v>
      </c>
      <c r="CF4" s="62" t="s">
        <v>24</v>
      </c>
      <c r="CG4" s="62" t="s">
        <v>24</v>
      </c>
      <c r="CH4" s="64" t="s">
        <v>24</v>
      </c>
      <c r="CI4" s="58" t="s">
        <v>24</v>
      </c>
      <c r="CJ4" s="58" t="s">
        <v>24</v>
      </c>
      <c r="CK4" s="176" t="s">
        <v>24</v>
      </c>
      <c r="CL4" s="65" t="s">
        <v>24</v>
      </c>
      <c r="CM4" s="58" t="s">
        <v>24</v>
      </c>
      <c r="CN4" s="59" t="s">
        <v>24</v>
      </c>
      <c r="CO4" s="59" t="s">
        <v>24</v>
      </c>
      <c r="CP4" s="59" t="s">
        <v>24</v>
      </c>
      <c r="CQ4" s="59" t="s">
        <v>24</v>
      </c>
      <c r="CR4" s="59" t="s">
        <v>24</v>
      </c>
      <c r="CS4" s="60" t="s">
        <v>24</v>
      </c>
      <c r="CT4" s="60" t="s">
        <v>24</v>
      </c>
      <c r="CU4" s="60"/>
      <c r="CV4" s="60"/>
      <c r="CW4" s="60" t="s">
        <v>24</v>
      </c>
      <c r="CX4" s="60"/>
      <c r="CY4" s="60"/>
      <c r="CZ4" s="60"/>
      <c r="DA4" s="167" t="s">
        <v>56</v>
      </c>
      <c r="DB4" s="67"/>
      <c r="DC4" s="57" t="s">
        <v>24</v>
      </c>
      <c r="DD4" s="57" t="s">
        <v>24</v>
      </c>
      <c r="DE4" s="57" t="s">
        <v>24</v>
      </c>
      <c r="DF4" s="57" t="s">
        <v>24</v>
      </c>
      <c r="DG4" s="65" t="s">
        <v>24</v>
      </c>
      <c r="DH4" s="65" t="s">
        <v>24</v>
      </c>
      <c r="DI4" s="65"/>
      <c r="DJ4" s="176" t="s">
        <v>24</v>
      </c>
      <c r="DK4" s="176" t="s">
        <v>24</v>
      </c>
      <c r="DL4" s="65" t="s">
        <v>24</v>
      </c>
      <c r="DM4" s="65" t="s">
        <v>24</v>
      </c>
      <c r="DN4" s="174" t="s">
        <v>24</v>
      </c>
      <c r="DO4" s="174" t="s">
        <v>24</v>
      </c>
      <c r="DP4" s="179" t="s">
        <v>24</v>
      </c>
      <c r="DQ4" s="179" t="s">
        <v>24</v>
      </c>
      <c r="DR4" s="174" t="s">
        <v>24</v>
      </c>
      <c r="DS4" s="179" t="s">
        <v>24</v>
      </c>
      <c r="DT4" s="60" t="s">
        <v>24</v>
      </c>
      <c r="DU4" s="53" t="s">
        <v>24</v>
      </c>
      <c r="DV4" s="53"/>
      <c r="DW4" s="61" t="s">
        <v>24</v>
      </c>
      <c r="DX4" s="53"/>
      <c r="DY4" s="63"/>
      <c r="DZ4" s="167" t="s">
        <v>56</v>
      </c>
      <c r="EA4" s="74"/>
      <c r="EB4" s="68" t="s">
        <v>25</v>
      </c>
      <c r="EC4" s="68" t="s">
        <v>25</v>
      </c>
      <c r="ED4" s="68" t="s">
        <v>25</v>
      </c>
      <c r="EE4" s="68" t="s">
        <v>25</v>
      </c>
      <c r="EF4" s="53"/>
      <c r="EG4" s="68" t="s">
        <v>25</v>
      </c>
      <c r="EH4" s="68" t="s">
        <v>25</v>
      </c>
      <c r="EI4" s="68" t="s">
        <v>25</v>
      </c>
      <c r="EJ4" s="68" t="s">
        <v>25</v>
      </c>
      <c r="EK4" s="53"/>
      <c r="EL4" s="68" t="s">
        <v>25</v>
      </c>
      <c r="EM4" s="68" t="s">
        <v>25</v>
      </c>
      <c r="EN4" s="68" t="s">
        <v>25</v>
      </c>
      <c r="EO4" s="68" t="s">
        <v>25</v>
      </c>
      <c r="EP4" s="53"/>
    </row>
    <row r="5" spans="1:146" hidden="1" x14ac:dyDescent="0.3">
      <c r="A5" s="52">
        <v>44368</v>
      </c>
      <c r="C5" s="69">
        <v>108.69999999999999</v>
      </c>
      <c r="D5" s="69">
        <v>49.18</v>
      </c>
      <c r="E5" s="69">
        <v>39.769999999999996</v>
      </c>
      <c r="F5" s="69">
        <v>59.48</v>
      </c>
      <c r="G5" s="70">
        <v>54.080999999999996</v>
      </c>
      <c r="H5" s="70">
        <v>0</v>
      </c>
      <c r="J5" s="70">
        <v>0</v>
      </c>
      <c r="L5" s="70">
        <v>0</v>
      </c>
      <c r="M5" s="70">
        <v>8.0500000000000007</v>
      </c>
      <c r="T5" s="72">
        <v>42.8</v>
      </c>
      <c r="U5" s="73"/>
      <c r="V5" s="73"/>
      <c r="W5" s="72"/>
      <c r="X5" s="72"/>
      <c r="Y5" s="72"/>
      <c r="Z5" s="72"/>
      <c r="AA5" s="72"/>
      <c r="AB5" s="72"/>
      <c r="AS5" s="60"/>
      <c r="AT5" s="75"/>
      <c r="AU5" s="75"/>
      <c r="AV5" s="75"/>
      <c r="AW5" s="75"/>
      <c r="AX5" s="72"/>
      <c r="AY5" s="72"/>
      <c r="AZ5" s="72"/>
      <c r="BA5" s="72"/>
      <c r="BU5" s="72"/>
      <c r="BV5" s="72"/>
      <c r="BW5" s="72"/>
      <c r="BX5" s="72"/>
      <c r="BY5" s="72"/>
      <c r="BZ5" s="72"/>
      <c r="CA5" s="72"/>
      <c r="CB5" s="72"/>
      <c r="CE5" s="69"/>
      <c r="CF5" s="69"/>
      <c r="CG5" s="69"/>
      <c r="CH5" s="69"/>
      <c r="CI5" s="76"/>
      <c r="CJ5" s="76"/>
      <c r="CK5" s="177"/>
      <c r="CL5" s="70"/>
      <c r="CM5" s="76"/>
      <c r="CN5" s="77"/>
      <c r="CO5" s="77"/>
      <c r="CP5" s="77"/>
      <c r="CQ5" s="77"/>
      <c r="CR5" s="77"/>
      <c r="CS5" s="66"/>
      <c r="CT5" s="66"/>
      <c r="CU5" s="66"/>
      <c r="CV5" s="66"/>
      <c r="CW5" s="66"/>
      <c r="CX5" s="66"/>
      <c r="CY5" s="66"/>
      <c r="CZ5" s="66"/>
      <c r="DA5" s="168"/>
      <c r="DB5" s="67"/>
      <c r="DC5" s="69"/>
      <c r="DD5" s="69"/>
      <c r="DE5" s="69"/>
      <c r="DF5" s="69"/>
      <c r="DG5" s="70"/>
      <c r="DH5" s="70"/>
      <c r="DI5" s="70"/>
      <c r="DJ5" s="177"/>
      <c r="DK5" s="177"/>
      <c r="DL5" s="70"/>
      <c r="DM5" s="70"/>
      <c r="DN5" s="71"/>
      <c r="DO5" s="71"/>
      <c r="DP5" s="180"/>
      <c r="DQ5" s="180"/>
      <c r="DR5" s="71"/>
      <c r="DS5" s="180"/>
      <c r="DT5" s="66"/>
      <c r="DU5" s="79"/>
      <c r="DV5" s="79"/>
      <c r="DW5" s="119"/>
      <c r="DX5" s="79"/>
      <c r="DY5" s="136"/>
      <c r="DZ5" s="168"/>
      <c r="EA5" s="74"/>
      <c r="EB5" s="78"/>
      <c r="EC5" s="78"/>
      <c r="ED5" s="78"/>
      <c r="EE5" s="78"/>
      <c r="EF5" s="79"/>
      <c r="EG5" s="66"/>
      <c r="EH5" s="66"/>
      <c r="EI5" s="66"/>
      <c r="EJ5" s="79"/>
      <c r="EK5" s="66"/>
      <c r="EL5" s="66"/>
      <c r="EM5" s="66"/>
      <c r="EN5" s="66"/>
      <c r="EO5" s="66"/>
      <c r="EP5" s="66"/>
    </row>
    <row r="6" spans="1:146" hidden="1" x14ac:dyDescent="0.3">
      <c r="A6" s="52">
        <v>44377</v>
      </c>
      <c r="C6" s="69">
        <v>212.5</v>
      </c>
      <c r="D6" s="69">
        <v>40.25</v>
      </c>
      <c r="E6" s="69">
        <v>14.755000000000001</v>
      </c>
      <c r="F6" s="69">
        <f>C6-D6</f>
        <v>172.25</v>
      </c>
      <c r="T6" s="72"/>
      <c r="U6" s="73"/>
      <c r="V6" s="73"/>
      <c r="W6" s="72"/>
      <c r="X6" s="72"/>
      <c r="Y6" s="72"/>
      <c r="Z6" s="72"/>
      <c r="AA6" s="72"/>
      <c r="AB6" s="72"/>
      <c r="AS6" s="72"/>
      <c r="AT6" s="75"/>
      <c r="AU6" s="75"/>
      <c r="AV6" s="75"/>
      <c r="AW6" s="75"/>
      <c r="AX6" s="72"/>
      <c r="AY6" s="72"/>
      <c r="AZ6" s="72"/>
      <c r="BA6" s="72"/>
      <c r="BU6" s="72"/>
      <c r="BV6" s="72"/>
      <c r="BW6" s="72"/>
      <c r="BX6" s="72"/>
      <c r="BY6" s="72"/>
      <c r="BZ6" s="72"/>
      <c r="CA6" s="72"/>
      <c r="CB6" s="72"/>
      <c r="CE6" s="69"/>
      <c r="CF6" s="69"/>
      <c r="CG6" s="69"/>
      <c r="CH6" s="69"/>
      <c r="CI6" s="76"/>
      <c r="CJ6" s="76"/>
      <c r="CK6" s="177"/>
      <c r="CL6" s="70"/>
      <c r="CM6" s="76"/>
      <c r="CN6" s="77"/>
      <c r="CO6" s="77"/>
      <c r="CP6" s="77"/>
      <c r="CQ6" s="77"/>
      <c r="CR6" s="77"/>
      <c r="CS6" s="66"/>
      <c r="CT6" s="66"/>
      <c r="CU6" s="66"/>
      <c r="CV6" s="66"/>
      <c r="CW6" s="66"/>
      <c r="CX6" s="66"/>
      <c r="CY6" s="66"/>
      <c r="CZ6" s="66"/>
      <c r="DA6" s="168"/>
      <c r="DB6" s="67"/>
      <c r="DC6" s="69"/>
      <c r="DD6" s="69"/>
      <c r="DE6" s="69"/>
      <c r="DF6" s="69"/>
      <c r="DG6" s="70"/>
      <c r="DH6" s="70"/>
      <c r="DI6" s="70"/>
      <c r="DJ6" s="177"/>
      <c r="DK6" s="177"/>
      <c r="DL6" s="70"/>
      <c r="DM6" s="70"/>
      <c r="DN6" s="71"/>
      <c r="DO6" s="71"/>
      <c r="DP6" s="180"/>
      <c r="DQ6" s="180"/>
      <c r="DR6" s="71"/>
      <c r="DS6" s="180"/>
      <c r="DT6" s="66"/>
      <c r="DU6" s="79"/>
      <c r="DV6" s="79"/>
      <c r="DW6" s="119"/>
      <c r="DX6" s="79"/>
      <c r="DY6" s="136"/>
      <c r="DZ6" s="168"/>
      <c r="EA6" s="74"/>
      <c r="EB6" s="78"/>
      <c r="EC6" s="78"/>
      <c r="ED6" s="78"/>
      <c r="EE6" s="78"/>
      <c r="EF6" s="79"/>
      <c r="EG6" s="66"/>
      <c r="EH6" s="66"/>
      <c r="EI6" s="66"/>
      <c r="EJ6" s="79"/>
      <c r="EK6" s="66"/>
      <c r="EL6" s="66"/>
      <c r="EM6" s="66"/>
      <c r="EN6" s="66"/>
      <c r="EO6" s="66"/>
      <c r="EP6" s="66"/>
    </row>
    <row r="7" spans="1:146" hidden="1" x14ac:dyDescent="0.3">
      <c r="A7" s="52">
        <v>44383</v>
      </c>
      <c r="T7" s="72"/>
      <c r="U7" s="73"/>
      <c r="V7" s="73"/>
      <c r="W7" s="72"/>
      <c r="X7" s="72"/>
      <c r="Y7" s="72"/>
      <c r="Z7" s="72"/>
      <c r="AA7" s="72"/>
      <c r="AB7" s="72"/>
      <c r="AS7" s="72"/>
      <c r="AT7" s="75"/>
      <c r="AU7" s="75"/>
      <c r="AV7" s="75"/>
      <c r="AW7" s="75"/>
      <c r="AX7" s="72"/>
      <c r="AY7" s="72"/>
      <c r="AZ7" s="72"/>
      <c r="BA7" s="72"/>
      <c r="BD7" s="69">
        <v>321.64999999999998</v>
      </c>
      <c r="BE7" s="69">
        <v>232.25</v>
      </c>
      <c r="BF7" s="69">
        <v>89.55</v>
      </c>
      <c r="BG7" s="69">
        <f>BD7-BE7</f>
        <v>89.399999999999977</v>
      </c>
      <c r="BU7" s="72"/>
      <c r="BV7" s="72"/>
      <c r="BW7" s="72"/>
      <c r="BX7" s="72"/>
      <c r="BY7" s="72"/>
      <c r="BZ7" s="72"/>
      <c r="CA7" s="72"/>
      <c r="CB7" s="72"/>
      <c r="CE7" s="69"/>
      <c r="CF7" s="69"/>
      <c r="CG7" s="69"/>
      <c r="CH7" s="69"/>
      <c r="CI7" s="76"/>
      <c r="CJ7" s="76"/>
      <c r="CK7" s="177"/>
      <c r="CL7" s="70"/>
      <c r="CM7" s="76"/>
      <c r="CN7" s="77"/>
      <c r="CO7" s="77"/>
      <c r="CP7" s="77"/>
      <c r="CQ7" s="77"/>
      <c r="CR7" s="77"/>
      <c r="CS7" s="66"/>
      <c r="CT7" s="66"/>
      <c r="CU7" s="66"/>
      <c r="CV7" s="66"/>
      <c r="CW7" s="66"/>
      <c r="CX7" s="66"/>
      <c r="CY7" s="66"/>
      <c r="CZ7" s="66"/>
      <c r="DA7" s="168"/>
      <c r="DB7" s="67"/>
      <c r="DC7" s="69"/>
      <c r="DD7" s="69"/>
      <c r="DE7" s="69"/>
      <c r="DF7" s="69"/>
      <c r="DG7" s="70"/>
      <c r="DH7" s="70"/>
      <c r="DI7" s="70"/>
      <c r="DJ7" s="177"/>
      <c r="DK7" s="177"/>
      <c r="DL7" s="70"/>
      <c r="DM7" s="70"/>
      <c r="DN7" s="71"/>
      <c r="DO7" s="71"/>
      <c r="DP7" s="180"/>
      <c r="DQ7" s="180"/>
      <c r="DR7" s="71"/>
      <c r="DS7" s="180"/>
      <c r="DT7" s="66"/>
      <c r="DU7" s="79"/>
      <c r="DV7" s="79"/>
      <c r="DW7" s="119"/>
      <c r="DX7" s="79"/>
      <c r="DY7" s="136"/>
      <c r="DZ7" s="168"/>
      <c r="EA7" s="74"/>
      <c r="EB7" s="78"/>
      <c r="EC7" s="78"/>
      <c r="ED7" s="78"/>
      <c r="EE7" s="78"/>
      <c r="EF7" s="79"/>
      <c r="EG7" s="66"/>
      <c r="EH7" s="66"/>
      <c r="EI7" s="66"/>
      <c r="EJ7" s="79"/>
      <c r="EK7" s="66"/>
      <c r="EL7" s="66"/>
      <c r="EM7" s="66"/>
      <c r="EN7" s="66"/>
      <c r="EO7" s="66"/>
      <c r="EP7" s="66"/>
    </row>
    <row r="8" spans="1:146" hidden="1" x14ac:dyDescent="0.3">
      <c r="A8" s="52">
        <v>44384</v>
      </c>
      <c r="C8" s="69">
        <v>165.79999999999998</v>
      </c>
      <c r="D8" s="69">
        <v>48.085000000000008</v>
      </c>
      <c r="E8" s="69">
        <v>19.45</v>
      </c>
      <c r="F8" s="69">
        <f>C8-D8</f>
        <v>117.71499999999997</v>
      </c>
      <c r="T8" s="72"/>
      <c r="U8" s="73"/>
      <c r="V8" s="73"/>
      <c r="W8" s="72"/>
      <c r="X8" s="72"/>
      <c r="Y8" s="72"/>
      <c r="Z8" s="72"/>
      <c r="AA8" s="72"/>
      <c r="AB8" s="72"/>
      <c r="AS8" s="72"/>
      <c r="AT8" s="75"/>
      <c r="AU8" s="75"/>
      <c r="AV8" s="75"/>
      <c r="AW8" s="75"/>
      <c r="AX8" s="72"/>
      <c r="AY8" s="72"/>
      <c r="AZ8" s="72"/>
      <c r="BA8" s="72"/>
      <c r="BU8" s="72"/>
      <c r="BV8" s="72"/>
      <c r="BW8" s="72"/>
      <c r="BX8" s="72"/>
      <c r="BY8" s="72"/>
      <c r="BZ8" s="72"/>
      <c r="CA8" s="72"/>
      <c r="CB8" s="72"/>
      <c r="CE8" s="69"/>
      <c r="CF8" s="69"/>
      <c r="CG8" s="69"/>
      <c r="CH8" s="69"/>
      <c r="CI8" s="76"/>
      <c r="CJ8" s="76"/>
      <c r="CK8" s="177"/>
      <c r="CL8" s="70"/>
      <c r="CM8" s="76"/>
      <c r="CN8" s="77"/>
      <c r="CO8" s="77"/>
      <c r="CP8" s="77"/>
      <c r="CQ8" s="77"/>
      <c r="CR8" s="77"/>
      <c r="CS8" s="66"/>
      <c r="CT8" s="66"/>
      <c r="CU8" s="66"/>
      <c r="CV8" s="66"/>
      <c r="CW8" s="66"/>
      <c r="CX8" s="66"/>
      <c r="CY8" s="66"/>
      <c r="CZ8" s="66"/>
      <c r="DA8" s="168"/>
      <c r="DB8" s="67"/>
      <c r="DC8" s="69"/>
      <c r="DD8" s="69"/>
      <c r="DE8" s="69"/>
      <c r="DF8" s="69"/>
      <c r="DG8" s="70"/>
      <c r="DH8" s="70"/>
      <c r="DI8" s="70"/>
      <c r="DJ8" s="177"/>
      <c r="DK8" s="177"/>
      <c r="DL8" s="70"/>
      <c r="DM8" s="70"/>
      <c r="DN8" s="71"/>
      <c r="DO8" s="71"/>
      <c r="DP8" s="180"/>
      <c r="DQ8" s="180"/>
      <c r="DR8" s="71"/>
      <c r="DS8" s="180"/>
      <c r="DT8" s="66"/>
      <c r="DU8" s="79"/>
      <c r="DV8" s="79"/>
      <c r="DW8" s="119"/>
      <c r="DX8" s="79"/>
      <c r="DY8" s="136"/>
      <c r="DZ8" s="168"/>
      <c r="EA8" s="74"/>
      <c r="EB8" s="78"/>
      <c r="EC8" s="78"/>
      <c r="ED8" s="78"/>
      <c r="EE8" s="78"/>
      <c r="EF8" s="79"/>
      <c r="EG8" s="66"/>
      <c r="EH8" s="66"/>
      <c r="EI8" s="66"/>
      <c r="EJ8" s="79"/>
      <c r="EK8" s="66"/>
      <c r="EL8" s="66"/>
      <c r="EM8" s="66"/>
      <c r="EN8" s="66"/>
      <c r="EO8" s="66"/>
      <c r="EP8" s="66"/>
    </row>
    <row r="9" spans="1:146" hidden="1" x14ac:dyDescent="0.3">
      <c r="A9" s="52">
        <v>44404</v>
      </c>
      <c r="C9" s="69">
        <v>229.20000000000002</v>
      </c>
      <c r="D9" s="69">
        <v>42.93</v>
      </c>
      <c r="E9" s="69">
        <v>13.5</v>
      </c>
      <c r="F9" s="69">
        <f t="shared" ref="F9:F61" si="0">C9-D9</f>
        <v>186.27</v>
      </c>
      <c r="T9" s="72"/>
      <c r="U9" s="73"/>
      <c r="V9" s="73"/>
      <c r="W9" s="72"/>
      <c r="X9" s="72"/>
      <c r="Y9" s="72"/>
      <c r="Z9" s="72"/>
      <c r="AA9" s="72"/>
      <c r="AB9" s="72"/>
      <c r="AD9" s="74">
        <v>6.36</v>
      </c>
      <c r="AS9" s="72"/>
      <c r="AT9" s="75"/>
      <c r="AU9" s="75"/>
      <c r="AV9" s="75"/>
      <c r="AW9" s="75"/>
      <c r="AX9" s="72"/>
      <c r="AY9" s="72"/>
      <c r="AZ9" s="72"/>
      <c r="BA9" s="72"/>
      <c r="BU9" s="72"/>
      <c r="BV9" s="72"/>
      <c r="BW9" s="72"/>
      <c r="BX9" s="72"/>
      <c r="BY9" s="72"/>
      <c r="BZ9" s="72"/>
      <c r="CA9" s="72"/>
      <c r="CB9" s="72"/>
      <c r="CE9" s="69"/>
      <c r="CF9" s="69"/>
      <c r="CG9" s="69"/>
      <c r="CH9" s="69"/>
      <c r="CI9" s="76"/>
      <c r="CJ9" s="76"/>
      <c r="CK9" s="177"/>
      <c r="CL9" s="70"/>
      <c r="CM9" s="76"/>
      <c r="CN9" s="77"/>
      <c r="CO9" s="77"/>
      <c r="CP9" s="77"/>
      <c r="CQ9" s="77"/>
      <c r="CR9" s="77"/>
      <c r="CS9" s="66"/>
      <c r="CT9" s="66"/>
      <c r="CU9" s="66"/>
      <c r="CV9" s="66"/>
      <c r="CW9" s="66"/>
      <c r="CX9" s="66"/>
      <c r="CY9" s="66"/>
      <c r="CZ9" s="66"/>
      <c r="DA9" s="168"/>
      <c r="DB9" s="67"/>
      <c r="DC9" s="69"/>
      <c r="DD9" s="69"/>
      <c r="DE9" s="69"/>
      <c r="DF9" s="69"/>
      <c r="DG9" s="70"/>
      <c r="DH9" s="70"/>
      <c r="DI9" s="70"/>
      <c r="DJ9" s="177"/>
      <c r="DK9" s="177"/>
      <c r="DL9" s="70"/>
      <c r="DM9" s="70"/>
      <c r="DN9" s="71"/>
      <c r="DO9" s="71"/>
      <c r="DP9" s="180"/>
      <c r="DQ9" s="180"/>
      <c r="DR9" s="71"/>
      <c r="DS9" s="180"/>
      <c r="DT9" s="66"/>
      <c r="DU9" s="79"/>
      <c r="DV9" s="79"/>
      <c r="DW9" s="119"/>
      <c r="DX9" s="79"/>
      <c r="DY9" s="136"/>
      <c r="DZ9" s="168"/>
      <c r="EA9" s="74"/>
      <c r="EB9" s="78"/>
      <c r="EC9" s="78"/>
      <c r="ED9" s="78"/>
      <c r="EE9" s="78"/>
      <c r="EF9" s="79"/>
      <c r="EG9" s="66"/>
      <c r="EH9" s="66"/>
      <c r="EI9" s="66"/>
      <c r="EJ9" s="79"/>
      <c r="EK9" s="66"/>
      <c r="EL9" s="66"/>
      <c r="EM9" s="66"/>
      <c r="EN9" s="66"/>
      <c r="EO9" s="66"/>
      <c r="EP9" s="66"/>
    </row>
    <row r="10" spans="1:146" hidden="1" x14ac:dyDescent="0.3">
      <c r="A10" s="52">
        <v>44405</v>
      </c>
      <c r="C10" s="69">
        <v>136.9</v>
      </c>
      <c r="D10" s="69">
        <v>60.59</v>
      </c>
      <c r="E10" s="69">
        <v>15.209999999999999</v>
      </c>
      <c r="F10" s="69">
        <f t="shared" si="0"/>
        <v>76.31</v>
      </c>
      <c r="T10" s="72"/>
      <c r="U10" s="73"/>
      <c r="V10" s="73"/>
      <c r="W10" s="72"/>
      <c r="X10" s="72"/>
      <c r="Y10" s="72"/>
      <c r="Z10" s="72"/>
      <c r="AA10" s="72"/>
      <c r="AB10" s="72"/>
      <c r="AD10" s="74">
        <v>6.88</v>
      </c>
      <c r="AS10" s="72"/>
      <c r="AT10" s="75"/>
      <c r="AU10" s="75"/>
      <c r="AV10" s="75"/>
      <c r="AW10" s="75"/>
      <c r="AX10" s="72"/>
      <c r="AY10" s="72"/>
      <c r="AZ10" s="72"/>
      <c r="BA10" s="72"/>
      <c r="BD10" s="69">
        <v>638.5</v>
      </c>
      <c r="BE10" s="69">
        <v>63.710000000000008</v>
      </c>
      <c r="BF10" s="69">
        <v>57.79</v>
      </c>
      <c r="BG10" s="69">
        <f t="shared" ref="BG10:BG31" si="1">BD10-BE10</f>
        <v>574.79</v>
      </c>
      <c r="BU10" s="72"/>
      <c r="BV10" s="72"/>
      <c r="BW10" s="72"/>
      <c r="BX10" s="72"/>
      <c r="BY10" s="72"/>
      <c r="BZ10" s="72"/>
      <c r="CA10" s="72"/>
      <c r="CB10" s="72"/>
      <c r="CD10" s="74">
        <v>6.62</v>
      </c>
      <c r="CE10" s="69"/>
      <c r="CF10" s="69"/>
      <c r="CG10" s="69"/>
      <c r="CH10" s="69"/>
      <c r="CI10" s="76"/>
      <c r="CJ10" s="76"/>
      <c r="CK10" s="177"/>
      <c r="CL10" s="70"/>
      <c r="CM10" s="76"/>
      <c r="CN10" s="77"/>
      <c r="CO10" s="77"/>
      <c r="CP10" s="77"/>
      <c r="CQ10" s="77"/>
      <c r="CR10" s="77"/>
      <c r="CS10" s="66"/>
      <c r="CT10" s="66"/>
      <c r="CU10" s="66"/>
      <c r="CV10" s="66"/>
      <c r="CW10" s="66"/>
      <c r="CX10" s="66"/>
      <c r="CY10" s="66"/>
      <c r="CZ10" s="66"/>
      <c r="DA10" s="168"/>
      <c r="DB10" s="67"/>
      <c r="DC10" s="69"/>
      <c r="DD10" s="69"/>
      <c r="DE10" s="69"/>
      <c r="DF10" s="69"/>
      <c r="DG10" s="70"/>
      <c r="DH10" s="70"/>
      <c r="DI10" s="70"/>
      <c r="DJ10" s="177"/>
      <c r="DK10" s="177"/>
      <c r="DL10" s="70"/>
      <c r="DM10" s="70"/>
      <c r="DN10" s="71"/>
      <c r="DO10" s="71"/>
      <c r="DP10" s="180"/>
      <c r="DQ10" s="180"/>
      <c r="DR10" s="71"/>
      <c r="DS10" s="180"/>
      <c r="DT10" s="66"/>
      <c r="DU10" s="79"/>
      <c r="DV10" s="79"/>
      <c r="DW10" s="119"/>
      <c r="DX10" s="79"/>
      <c r="DY10" s="136"/>
      <c r="DZ10" s="168"/>
      <c r="EA10" s="74"/>
      <c r="EB10" s="78">
        <f t="shared" ref="EB10:EB21" si="2">(1-BD10/C10)*100</f>
        <v>-366.39883126369614</v>
      </c>
      <c r="EC10" s="78">
        <f t="shared" ref="EC10:EC21" si="3">(1-BE10/D10)*100</f>
        <v>-5.1493645816141242</v>
      </c>
      <c r="ED10" s="78">
        <f t="shared" ref="ED10:ED21" si="4">(1-BF10/E10)*100</f>
        <v>-279.94740302432615</v>
      </c>
      <c r="EE10" s="78">
        <f t="shared" ref="EE10:EE21" si="5">(1-BG10/F10)*100</f>
        <v>-653.23024505307285</v>
      </c>
      <c r="EF10" s="79"/>
      <c r="EG10" s="66"/>
      <c r="EH10" s="66"/>
      <c r="EI10" s="66"/>
      <c r="EJ10" s="79"/>
      <c r="EK10" s="66"/>
      <c r="EL10" s="66"/>
      <c r="EM10" s="66"/>
      <c r="EN10" s="66"/>
      <c r="EO10" s="66"/>
      <c r="EP10" s="66"/>
    </row>
    <row r="11" spans="1:146" hidden="1" x14ac:dyDescent="0.3">
      <c r="A11" s="52">
        <v>44406</v>
      </c>
      <c r="C11" s="69">
        <v>191.9</v>
      </c>
      <c r="D11" s="69">
        <v>39.93</v>
      </c>
      <c r="E11" s="69">
        <v>11.09</v>
      </c>
      <c r="F11" s="69">
        <f t="shared" si="0"/>
        <v>151.97</v>
      </c>
      <c r="T11" s="72"/>
      <c r="U11" s="73"/>
      <c r="V11" s="73"/>
      <c r="W11" s="72"/>
      <c r="X11" s="72"/>
      <c r="Y11" s="72"/>
      <c r="Z11" s="72"/>
      <c r="AA11" s="72"/>
      <c r="AB11" s="72"/>
      <c r="AD11" s="74">
        <v>6.6</v>
      </c>
      <c r="AS11" s="72"/>
      <c r="AT11" s="75"/>
      <c r="AU11" s="75"/>
      <c r="AV11" s="75"/>
      <c r="AW11" s="75"/>
      <c r="AX11" s="72"/>
      <c r="AY11" s="72"/>
      <c r="AZ11" s="72"/>
      <c r="BA11" s="72"/>
      <c r="BD11" s="69">
        <v>688.8</v>
      </c>
      <c r="BE11" s="69">
        <v>64.62</v>
      </c>
      <c r="BF11" s="69">
        <v>81.489999999999995</v>
      </c>
      <c r="BG11" s="69">
        <f t="shared" si="1"/>
        <v>624.17999999999995</v>
      </c>
      <c r="BU11" s="72"/>
      <c r="BV11" s="72"/>
      <c r="BW11" s="72"/>
      <c r="BX11" s="72"/>
      <c r="BY11" s="72"/>
      <c r="BZ11" s="72"/>
      <c r="CA11" s="72"/>
      <c r="CB11" s="72"/>
      <c r="CD11" s="74">
        <v>6.67</v>
      </c>
      <c r="CE11" s="69"/>
      <c r="CF11" s="69"/>
      <c r="CG11" s="69"/>
      <c r="CH11" s="69"/>
      <c r="CI11" s="76"/>
      <c r="CJ11" s="76"/>
      <c r="CK11" s="177"/>
      <c r="CL11" s="70"/>
      <c r="CM11" s="76"/>
      <c r="CN11" s="77"/>
      <c r="CO11" s="77"/>
      <c r="CP11" s="77"/>
      <c r="CQ11" s="77"/>
      <c r="CR11" s="77"/>
      <c r="CS11" s="66"/>
      <c r="CT11" s="66"/>
      <c r="CU11" s="66"/>
      <c r="CV11" s="66"/>
      <c r="CW11" s="66"/>
      <c r="CX11" s="66"/>
      <c r="CY11" s="66"/>
      <c r="CZ11" s="66"/>
      <c r="DA11" s="168"/>
      <c r="DB11" s="67"/>
      <c r="DC11" s="69"/>
      <c r="DD11" s="69"/>
      <c r="DE11" s="69"/>
      <c r="DF11" s="69"/>
      <c r="DG11" s="70"/>
      <c r="DH11" s="70"/>
      <c r="DI11" s="70"/>
      <c r="DJ11" s="177"/>
      <c r="DK11" s="177"/>
      <c r="DL11" s="70"/>
      <c r="DM11" s="70"/>
      <c r="DN11" s="71"/>
      <c r="DO11" s="71"/>
      <c r="DP11" s="180"/>
      <c r="DQ11" s="180"/>
      <c r="DR11" s="71"/>
      <c r="DS11" s="180"/>
      <c r="DT11" s="66"/>
      <c r="DU11" s="79"/>
      <c r="DV11" s="79"/>
      <c r="DW11" s="119"/>
      <c r="DX11" s="79"/>
      <c r="DY11" s="136"/>
      <c r="DZ11" s="168"/>
      <c r="EA11" s="74"/>
      <c r="EB11" s="78">
        <f t="shared" si="2"/>
        <v>-258.93694632621151</v>
      </c>
      <c r="EC11" s="78">
        <f t="shared" si="3"/>
        <v>-61.833208114199856</v>
      </c>
      <c r="ED11" s="78">
        <f t="shared" si="4"/>
        <v>-634.80613165013528</v>
      </c>
      <c r="EE11" s="78">
        <f t="shared" si="5"/>
        <v>-310.72580114496276</v>
      </c>
      <c r="EF11" s="79"/>
      <c r="EG11" s="66"/>
      <c r="EH11" s="66"/>
      <c r="EI11" s="66"/>
      <c r="EJ11" s="79"/>
      <c r="EK11" s="66"/>
      <c r="EL11" s="66"/>
      <c r="EM11" s="66"/>
      <c r="EN11" s="66"/>
      <c r="EO11" s="66"/>
      <c r="EP11" s="66"/>
    </row>
    <row r="12" spans="1:146" hidden="1" x14ac:dyDescent="0.3">
      <c r="A12" s="52">
        <v>44407</v>
      </c>
      <c r="C12" s="69">
        <v>176.70000000000002</v>
      </c>
      <c r="D12" s="69">
        <v>42.03</v>
      </c>
      <c r="E12" s="69">
        <v>12.07</v>
      </c>
      <c r="F12" s="69">
        <f t="shared" si="0"/>
        <v>134.67000000000002</v>
      </c>
      <c r="T12" s="72"/>
      <c r="U12" s="73"/>
      <c r="V12" s="73"/>
      <c r="W12" s="72"/>
      <c r="X12" s="72"/>
      <c r="Y12" s="72"/>
      <c r="Z12" s="72"/>
      <c r="AA12" s="72"/>
      <c r="AB12" s="72"/>
      <c r="AD12" s="74">
        <v>6.6</v>
      </c>
      <c r="AS12" s="72"/>
      <c r="AT12" s="75"/>
      <c r="AU12" s="75"/>
      <c r="AV12" s="75"/>
      <c r="AW12" s="75"/>
      <c r="AX12" s="72"/>
      <c r="AY12" s="72"/>
      <c r="AZ12" s="72"/>
      <c r="BA12" s="72"/>
      <c r="BD12" s="69">
        <v>275.79999999999995</v>
      </c>
      <c r="BE12" s="69">
        <v>41.41</v>
      </c>
      <c r="BF12" s="69">
        <v>25.16</v>
      </c>
      <c r="BG12" s="69">
        <f t="shared" si="1"/>
        <v>234.38999999999996</v>
      </c>
      <c r="BU12" s="72"/>
      <c r="BV12" s="72"/>
      <c r="BW12" s="72"/>
      <c r="BX12" s="72"/>
      <c r="BY12" s="72"/>
      <c r="BZ12" s="72"/>
      <c r="CA12" s="72"/>
      <c r="CB12" s="72"/>
      <c r="CD12" s="74">
        <v>6.51</v>
      </c>
      <c r="CE12" s="69"/>
      <c r="CF12" s="69"/>
      <c r="CG12" s="69"/>
      <c r="CH12" s="69"/>
      <c r="CI12" s="76"/>
      <c r="CJ12" s="76"/>
      <c r="CK12" s="177"/>
      <c r="CL12" s="70"/>
      <c r="CM12" s="76"/>
      <c r="CN12" s="77"/>
      <c r="CO12" s="77"/>
      <c r="CP12" s="77"/>
      <c r="CQ12" s="77"/>
      <c r="CR12" s="77"/>
      <c r="CS12" s="66"/>
      <c r="CT12" s="66"/>
      <c r="CU12" s="66"/>
      <c r="CV12" s="66"/>
      <c r="CW12" s="66"/>
      <c r="CX12" s="66"/>
      <c r="CY12" s="66"/>
      <c r="CZ12" s="66"/>
      <c r="DA12" s="168"/>
      <c r="DB12" s="67"/>
      <c r="DC12" s="69"/>
      <c r="DD12" s="69"/>
      <c r="DE12" s="69"/>
      <c r="DF12" s="69"/>
      <c r="DG12" s="70"/>
      <c r="DH12" s="70"/>
      <c r="DI12" s="70"/>
      <c r="DJ12" s="177"/>
      <c r="DK12" s="177"/>
      <c r="DL12" s="70"/>
      <c r="DM12" s="70"/>
      <c r="DN12" s="71"/>
      <c r="DO12" s="71"/>
      <c r="DP12" s="180"/>
      <c r="DQ12" s="180"/>
      <c r="DR12" s="71"/>
      <c r="DS12" s="180"/>
      <c r="DT12" s="66"/>
      <c r="DU12" s="79"/>
      <c r="DV12" s="79"/>
      <c r="DW12" s="119"/>
      <c r="DX12" s="79"/>
      <c r="DY12" s="136"/>
      <c r="DZ12" s="168"/>
      <c r="EA12" s="74"/>
      <c r="EB12" s="78">
        <f t="shared" si="2"/>
        <v>-56.083757781550617</v>
      </c>
      <c r="EC12" s="78">
        <f t="shared" si="3"/>
        <v>1.4751368070425985</v>
      </c>
      <c r="ED12" s="78">
        <f t="shared" si="4"/>
        <v>-108.4507042253521</v>
      </c>
      <c r="EE12" s="78">
        <f t="shared" si="5"/>
        <v>-74.047672087324528</v>
      </c>
      <c r="EF12" s="79"/>
      <c r="EG12" s="66"/>
      <c r="EH12" s="66"/>
      <c r="EI12" s="66"/>
      <c r="EJ12" s="79"/>
      <c r="EK12" s="66"/>
      <c r="EL12" s="66"/>
      <c r="EM12" s="66"/>
      <c r="EN12" s="66"/>
      <c r="EO12" s="66"/>
      <c r="EP12" s="66"/>
    </row>
    <row r="13" spans="1:146" hidden="1" x14ac:dyDescent="0.3">
      <c r="A13" s="52">
        <v>44410</v>
      </c>
      <c r="C13" s="69">
        <v>175.39999999999998</v>
      </c>
      <c r="D13" s="69">
        <v>38.11</v>
      </c>
      <c r="E13" s="69">
        <v>11.92</v>
      </c>
      <c r="F13" s="69">
        <f t="shared" si="0"/>
        <v>137.28999999999996</v>
      </c>
      <c r="T13" s="72"/>
      <c r="U13" s="73"/>
      <c r="V13" s="73"/>
      <c r="W13" s="72"/>
      <c r="X13" s="72"/>
      <c r="Y13" s="72"/>
      <c r="Z13" s="72"/>
      <c r="AA13" s="72"/>
      <c r="AB13" s="72"/>
      <c r="AD13" s="74">
        <v>6.62</v>
      </c>
      <c r="AS13" s="72"/>
      <c r="AT13" s="75"/>
      <c r="AU13" s="75"/>
      <c r="AV13" s="75"/>
      <c r="AW13" s="75"/>
      <c r="AX13" s="72"/>
      <c r="AY13" s="72"/>
      <c r="AZ13" s="72"/>
      <c r="BA13" s="72"/>
      <c r="BD13" s="69">
        <v>213.4</v>
      </c>
      <c r="BE13" s="69">
        <v>60.940000000000005</v>
      </c>
      <c r="BF13" s="69">
        <v>22.57</v>
      </c>
      <c r="BG13" s="69">
        <f t="shared" si="1"/>
        <v>152.46</v>
      </c>
      <c r="BU13" s="72"/>
      <c r="BV13" s="72"/>
      <c r="BW13" s="72"/>
      <c r="BX13" s="72"/>
      <c r="BY13" s="72"/>
      <c r="BZ13" s="72"/>
      <c r="CA13" s="72"/>
      <c r="CB13" s="72"/>
      <c r="CD13" s="74">
        <v>6.73</v>
      </c>
      <c r="CE13" s="69"/>
      <c r="CF13" s="69"/>
      <c r="CG13" s="69"/>
      <c r="CH13" s="69"/>
      <c r="CI13" s="76"/>
      <c r="CJ13" s="76"/>
      <c r="CK13" s="177"/>
      <c r="CL13" s="70"/>
      <c r="CM13" s="76"/>
      <c r="CN13" s="77"/>
      <c r="CO13" s="77"/>
      <c r="CP13" s="77"/>
      <c r="CQ13" s="77"/>
      <c r="CR13" s="77"/>
      <c r="CS13" s="66"/>
      <c r="CT13" s="66"/>
      <c r="CU13" s="66"/>
      <c r="CV13" s="66"/>
      <c r="CW13" s="66"/>
      <c r="CX13" s="66"/>
      <c r="CY13" s="66"/>
      <c r="CZ13" s="66"/>
      <c r="DA13" s="168"/>
      <c r="DB13" s="67"/>
      <c r="DC13" s="69"/>
      <c r="DD13" s="69"/>
      <c r="DE13" s="69"/>
      <c r="DF13" s="69"/>
      <c r="DG13" s="70"/>
      <c r="DH13" s="70"/>
      <c r="DI13" s="70"/>
      <c r="DJ13" s="177"/>
      <c r="DK13" s="177"/>
      <c r="DL13" s="70"/>
      <c r="DM13" s="70"/>
      <c r="DN13" s="71"/>
      <c r="DO13" s="71"/>
      <c r="DP13" s="180"/>
      <c r="DQ13" s="180"/>
      <c r="DR13" s="71"/>
      <c r="DS13" s="180"/>
      <c r="DT13" s="66"/>
      <c r="DU13" s="79"/>
      <c r="DV13" s="79"/>
      <c r="DW13" s="119"/>
      <c r="DX13" s="79"/>
      <c r="DY13" s="136"/>
      <c r="DZ13" s="168"/>
      <c r="EA13" s="74"/>
      <c r="EB13" s="78">
        <f t="shared" si="2"/>
        <v>-21.664766248574697</v>
      </c>
      <c r="EC13" s="78">
        <f t="shared" si="3"/>
        <v>-59.905536604565746</v>
      </c>
      <c r="ED13" s="78">
        <f t="shared" si="4"/>
        <v>-89.345637583892625</v>
      </c>
      <c r="EE13" s="78">
        <f t="shared" si="5"/>
        <v>-11.049603030082334</v>
      </c>
      <c r="EF13" s="79"/>
      <c r="EG13" s="66"/>
      <c r="EH13" s="66"/>
      <c r="EI13" s="66"/>
      <c r="EJ13" s="79"/>
      <c r="EK13" s="66"/>
      <c r="EL13" s="66"/>
      <c r="EM13" s="66"/>
      <c r="EN13" s="66"/>
      <c r="EO13" s="66"/>
      <c r="EP13" s="66"/>
    </row>
    <row r="14" spans="1:146" hidden="1" x14ac:dyDescent="0.3">
      <c r="A14" s="52">
        <v>44411</v>
      </c>
      <c r="C14" s="69">
        <v>147.20000000000002</v>
      </c>
      <c r="D14" s="69">
        <v>55.69</v>
      </c>
      <c r="E14" s="69">
        <v>15.329999999999998</v>
      </c>
      <c r="F14" s="69">
        <f t="shared" si="0"/>
        <v>91.510000000000019</v>
      </c>
      <c r="G14" s="70">
        <v>46.097999999999999</v>
      </c>
      <c r="J14" s="70">
        <v>0.95899999999999996</v>
      </c>
      <c r="L14" s="70">
        <v>7.3369999999999997</v>
      </c>
      <c r="M14" s="70">
        <v>14.165000000000001</v>
      </c>
      <c r="T14" s="72"/>
      <c r="U14" s="73"/>
      <c r="V14" s="73"/>
      <c r="W14" s="72"/>
      <c r="X14" s="72"/>
      <c r="Y14" s="72"/>
      <c r="Z14" s="72"/>
      <c r="AA14" s="72"/>
      <c r="AB14" s="72"/>
      <c r="AD14" s="74">
        <v>7.38</v>
      </c>
      <c r="AS14" s="72"/>
      <c r="AT14" s="75"/>
      <c r="AU14" s="75"/>
      <c r="AV14" s="75"/>
      <c r="AW14" s="75"/>
      <c r="AX14" s="72"/>
      <c r="AY14" s="72"/>
      <c r="AZ14" s="72"/>
      <c r="BA14" s="72"/>
      <c r="BD14" s="69">
        <v>190.5</v>
      </c>
      <c r="BE14" s="69">
        <v>48.92</v>
      </c>
      <c r="BF14" s="69">
        <v>17.25</v>
      </c>
      <c r="BG14" s="69">
        <f t="shared" si="1"/>
        <v>141.57999999999998</v>
      </c>
      <c r="BH14" s="70">
        <v>48.263499999999993</v>
      </c>
      <c r="BK14" s="70">
        <v>1.073</v>
      </c>
      <c r="BM14" s="70">
        <v>1.8265</v>
      </c>
      <c r="BN14" s="70">
        <v>3.3005</v>
      </c>
      <c r="BU14" s="72"/>
      <c r="BV14" s="72"/>
      <c r="BW14" s="72"/>
      <c r="BX14" s="72"/>
      <c r="BY14" s="72"/>
      <c r="BZ14" s="72"/>
      <c r="CA14" s="72"/>
      <c r="CB14" s="72"/>
      <c r="CD14" s="74">
        <v>6.73</v>
      </c>
      <c r="CE14" s="69"/>
      <c r="CF14" s="69"/>
      <c r="CG14" s="69"/>
      <c r="CH14" s="69"/>
      <c r="CI14" s="76"/>
      <c r="CJ14" s="76"/>
      <c r="CK14" s="177"/>
      <c r="CL14" s="70"/>
      <c r="CM14" s="76"/>
      <c r="CN14" s="77"/>
      <c r="CO14" s="77"/>
      <c r="CP14" s="77"/>
      <c r="CQ14" s="77"/>
      <c r="CR14" s="77"/>
      <c r="CS14" s="66"/>
      <c r="CT14" s="66"/>
      <c r="CU14" s="66"/>
      <c r="CV14" s="66"/>
      <c r="CW14" s="66"/>
      <c r="CX14" s="66"/>
      <c r="CY14" s="66"/>
      <c r="CZ14" s="66"/>
      <c r="DA14" s="168"/>
      <c r="DB14" s="67"/>
      <c r="DC14" s="69"/>
      <c r="DD14" s="69"/>
      <c r="DE14" s="69"/>
      <c r="DF14" s="69"/>
      <c r="DG14" s="70"/>
      <c r="DH14" s="70"/>
      <c r="DI14" s="70"/>
      <c r="DJ14" s="177"/>
      <c r="DK14" s="177"/>
      <c r="DL14" s="70"/>
      <c r="DM14" s="70"/>
      <c r="DN14" s="71"/>
      <c r="DO14" s="71"/>
      <c r="DP14" s="180"/>
      <c r="DQ14" s="180"/>
      <c r="DR14" s="71"/>
      <c r="DS14" s="180"/>
      <c r="DT14" s="66"/>
      <c r="DU14" s="79"/>
      <c r="DV14" s="79"/>
      <c r="DW14" s="119"/>
      <c r="DX14" s="79"/>
      <c r="DY14" s="136"/>
      <c r="DZ14" s="168"/>
      <c r="EA14" s="74"/>
      <c r="EB14" s="78">
        <f t="shared" si="2"/>
        <v>-29.415760869565212</v>
      </c>
      <c r="EC14" s="78">
        <f t="shared" si="3"/>
        <v>12.156581073801398</v>
      </c>
      <c r="ED14" s="78">
        <f t="shared" si="4"/>
        <v>-12.524461839530353</v>
      </c>
      <c r="EE14" s="78">
        <f t="shared" si="5"/>
        <v>-54.715331657742269</v>
      </c>
      <c r="EF14" s="79"/>
      <c r="EG14" s="66"/>
      <c r="EH14" s="66"/>
      <c r="EI14" s="66"/>
      <c r="EJ14" s="79"/>
      <c r="EK14" s="66"/>
      <c r="EL14" s="66"/>
      <c r="EM14" s="66"/>
      <c r="EN14" s="66"/>
      <c r="EO14" s="66"/>
      <c r="EP14" s="66"/>
    </row>
    <row r="15" spans="1:146" hidden="1" x14ac:dyDescent="0.3">
      <c r="A15" s="52">
        <v>44412</v>
      </c>
      <c r="C15" s="69">
        <v>140.19999999999999</v>
      </c>
      <c r="D15" s="69">
        <v>54.25</v>
      </c>
      <c r="E15" s="69">
        <v>20.255000000000003</v>
      </c>
      <c r="F15" s="69">
        <f t="shared" si="0"/>
        <v>85.949999999999989</v>
      </c>
      <c r="G15" s="70">
        <v>44.518000000000001</v>
      </c>
      <c r="J15" s="70">
        <v>1.034</v>
      </c>
      <c r="L15" s="70">
        <v>5.9264999999999999</v>
      </c>
      <c r="M15" s="70">
        <v>15.952500000000001</v>
      </c>
      <c r="T15" s="72">
        <f>13.2*4</f>
        <v>52.8</v>
      </c>
      <c r="U15" s="73"/>
      <c r="V15" s="73"/>
      <c r="W15" s="72"/>
      <c r="X15" s="72"/>
      <c r="Y15" s="72"/>
      <c r="Z15" s="72"/>
      <c r="AA15" s="72"/>
      <c r="AB15" s="72"/>
      <c r="AS15" s="72"/>
      <c r="AT15" s="75"/>
      <c r="AU15" s="75"/>
      <c r="AV15" s="75"/>
      <c r="AW15" s="75"/>
      <c r="AX15" s="72"/>
      <c r="AY15" s="72"/>
      <c r="AZ15" s="72"/>
      <c r="BA15" s="72"/>
      <c r="BD15" s="69">
        <v>183.9</v>
      </c>
      <c r="BE15" s="69">
        <v>60.15</v>
      </c>
      <c r="BF15" s="69">
        <v>26.520000000000003</v>
      </c>
      <c r="BG15" s="69">
        <f t="shared" si="1"/>
        <v>123.75</v>
      </c>
      <c r="BH15" s="70">
        <v>47.121000000000002</v>
      </c>
      <c r="BK15" s="70">
        <v>1.204</v>
      </c>
      <c r="BM15" s="70">
        <v>1.2370000000000001</v>
      </c>
      <c r="BN15" s="70">
        <v>3.1424999999999996</v>
      </c>
      <c r="BU15" s="72"/>
      <c r="BV15" s="72"/>
      <c r="BW15" s="72"/>
      <c r="BX15" s="72"/>
      <c r="BY15" s="72"/>
      <c r="BZ15" s="72"/>
      <c r="CA15" s="72"/>
      <c r="CB15" s="72"/>
      <c r="CE15" s="69"/>
      <c r="CF15" s="69"/>
      <c r="CG15" s="69"/>
      <c r="CH15" s="69"/>
      <c r="CI15" s="76"/>
      <c r="CJ15" s="76"/>
      <c r="CK15" s="177"/>
      <c r="CL15" s="70"/>
      <c r="CM15" s="76"/>
      <c r="CN15" s="77"/>
      <c r="CO15" s="77"/>
      <c r="CP15" s="77"/>
      <c r="CQ15" s="77"/>
      <c r="CR15" s="77"/>
      <c r="CS15" s="66"/>
      <c r="CT15" s="66"/>
      <c r="CU15" s="66"/>
      <c r="CV15" s="66"/>
      <c r="CW15" s="66"/>
      <c r="CX15" s="66"/>
      <c r="CY15" s="66"/>
      <c r="CZ15" s="66"/>
      <c r="DA15" s="168"/>
      <c r="DB15" s="67"/>
      <c r="DC15" s="69"/>
      <c r="DD15" s="69"/>
      <c r="DE15" s="69"/>
      <c r="DF15" s="69"/>
      <c r="DG15" s="70"/>
      <c r="DH15" s="70"/>
      <c r="DI15" s="70"/>
      <c r="DJ15" s="177"/>
      <c r="DK15" s="177"/>
      <c r="DL15" s="70"/>
      <c r="DM15" s="70"/>
      <c r="DN15" s="71"/>
      <c r="DO15" s="71"/>
      <c r="DP15" s="180"/>
      <c r="DQ15" s="180"/>
      <c r="DR15" s="71"/>
      <c r="DS15" s="180"/>
      <c r="DT15" s="66"/>
      <c r="DU15" s="79"/>
      <c r="DV15" s="79"/>
      <c r="DW15" s="119"/>
      <c r="DX15" s="79"/>
      <c r="DY15" s="136"/>
      <c r="DZ15" s="168"/>
      <c r="EA15" s="74"/>
      <c r="EB15" s="78">
        <f t="shared" si="2"/>
        <v>-31.16975748930102</v>
      </c>
      <c r="EC15" s="78">
        <f t="shared" si="3"/>
        <v>-10.875576036866352</v>
      </c>
      <c r="ED15" s="78">
        <f t="shared" si="4"/>
        <v>-30.930634411256474</v>
      </c>
      <c r="EE15" s="78">
        <f t="shared" si="5"/>
        <v>-43.979057591623061</v>
      </c>
      <c r="EF15" s="79"/>
      <c r="EG15" s="66"/>
      <c r="EH15" s="66"/>
      <c r="EI15" s="66"/>
      <c r="EJ15" s="79"/>
      <c r="EK15" s="66"/>
      <c r="EL15" s="66"/>
      <c r="EM15" s="66"/>
      <c r="EN15" s="66"/>
      <c r="EO15" s="66"/>
      <c r="EP15" s="66"/>
    </row>
    <row r="16" spans="1:146" hidden="1" x14ac:dyDescent="0.3">
      <c r="A16" s="52">
        <v>44413</v>
      </c>
      <c r="C16" s="69">
        <v>228.45</v>
      </c>
      <c r="D16" s="69">
        <v>47.074999999999996</v>
      </c>
      <c r="E16" s="69">
        <v>21.82</v>
      </c>
      <c r="F16" s="69">
        <f t="shared" si="0"/>
        <v>181.375</v>
      </c>
      <c r="G16" s="70">
        <v>49.772999999999996</v>
      </c>
      <c r="J16" s="70">
        <v>0.81199999999999994</v>
      </c>
      <c r="L16" s="70">
        <v>9.5214999999999996</v>
      </c>
      <c r="M16" s="70">
        <v>18.943000000000001</v>
      </c>
      <c r="T16" s="72"/>
      <c r="U16" s="73"/>
      <c r="V16" s="73"/>
      <c r="W16" s="72"/>
      <c r="X16" s="72"/>
      <c r="Y16" s="72"/>
      <c r="Z16" s="72"/>
      <c r="AA16" s="72"/>
      <c r="AB16" s="72"/>
      <c r="AS16" s="72"/>
      <c r="AT16" s="75"/>
      <c r="AU16" s="75"/>
      <c r="AV16" s="75"/>
      <c r="AW16" s="75"/>
      <c r="AX16" s="72"/>
      <c r="AY16" s="72"/>
      <c r="AZ16" s="72"/>
      <c r="BA16" s="72"/>
      <c r="BD16" s="69">
        <v>193.4</v>
      </c>
      <c r="BE16" s="69">
        <v>60.9</v>
      </c>
      <c r="BF16" s="69">
        <v>28.57</v>
      </c>
      <c r="BG16" s="69">
        <f t="shared" si="1"/>
        <v>132.5</v>
      </c>
      <c r="BH16" s="70">
        <v>47.185499999999998</v>
      </c>
      <c r="BK16" s="70">
        <v>1.218</v>
      </c>
      <c r="BM16" s="70">
        <v>3.1</v>
      </c>
      <c r="BN16" s="70">
        <v>1.2959999999999998</v>
      </c>
      <c r="BU16" s="72"/>
      <c r="BV16" s="72"/>
      <c r="BW16" s="72"/>
      <c r="BX16" s="72"/>
      <c r="BY16" s="72"/>
      <c r="BZ16" s="72"/>
      <c r="CA16" s="72"/>
      <c r="CB16" s="72"/>
      <c r="CE16" s="69"/>
      <c r="CF16" s="69"/>
      <c r="CG16" s="69"/>
      <c r="CH16" s="69"/>
      <c r="CI16" s="76"/>
      <c r="CJ16" s="76"/>
      <c r="CK16" s="177"/>
      <c r="CL16" s="70"/>
      <c r="CM16" s="76"/>
      <c r="CN16" s="77"/>
      <c r="CO16" s="77"/>
      <c r="CP16" s="77"/>
      <c r="CQ16" s="77"/>
      <c r="CR16" s="77"/>
      <c r="CS16" s="66"/>
      <c r="CT16" s="66"/>
      <c r="CU16" s="66"/>
      <c r="CV16" s="66"/>
      <c r="CW16" s="66"/>
      <c r="CX16" s="66"/>
      <c r="CY16" s="66"/>
      <c r="CZ16" s="66"/>
      <c r="DA16" s="168"/>
      <c r="DB16" s="67"/>
      <c r="DC16" s="69"/>
      <c r="DD16" s="69"/>
      <c r="DE16" s="69"/>
      <c r="DF16" s="69"/>
      <c r="DG16" s="70"/>
      <c r="DH16" s="70"/>
      <c r="DI16" s="70"/>
      <c r="DJ16" s="177"/>
      <c r="DK16" s="177"/>
      <c r="DL16" s="70"/>
      <c r="DM16" s="70"/>
      <c r="DN16" s="71"/>
      <c r="DO16" s="71"/>
      <c r="DP16" s="180"/>
      <c r="DQ16" s="180"/>
      <c r="DR16" s="71"/>
      <c r="DS16" s="180"/>
      <c r="DT16" s="66"/>
      <c r="DU16" s="79"/>
      <c r="DV16" s="79"/>
      <c r="DW16" s="119"/>
      <c r="DX16" s="79"/>
      <c r="DY16" s="136"/>
      <c r="DZ16" s="168"/>
      <c r="EA16" s="74"/>
      <c r="EB16" s="78">
        <f t="shared" si="2"/>
        <v>15.342525716787037</v>
      </c>
      <c r="EC16" s="78">
        <f t="shared" si="3"/>
        <v>-29.368029739776969</v>
      </c>
      <c r="ED16" s="78">
        <f t="shared" si="4"/>
        <v>-30.934922089825847</v>
      </c>
      <c r="EE16" s="78">
        <f t="shared" si="5"/>
        <v>26.946933149552031</v>
      </c>
      <c r="EF16" s="79"/>
      <c r="EG16" s="66"/>
      <c r="EH16" s="66"/>
      <c r="EI16" s="66"/>
      <c r="EJ16" s="79"/>
      <c r="EK16" s="66"/>
      <c r="EL16" s="66"/>
      <c r="EM16" s="66"/>
      <c r="EN16" s="66"/>
      <c r="EO16" s="66"/>
      <c r="EP16" s="66"/>
    </row>
    <row r="17" spans="1:146" hidden="1" x14ac:dyDescent="0.3">
      <c r="A17" s="52">
        <v>44414</v>
      </c>
      <c r="C17" s="69">
        <v>221.8</v>
      </c>
      <c r="D17" s="69">
        <v>37.594999999999999</v>
      </c>
      <c r="E17" s="69">
        <v>15.765000000000001</v>
      </c>
      <c r="F17" s="69">
        <f t="shared" si="0"/>
        <v>184.20500000000001</v>
      </c>
      <c r="G17" s="70">
        <v>43.706500000000005</v>
      </c>
      <c r="J17" s="70">
        <v>0.69350000000000001</v>
      </c>
      <c r="L17" s="70">
        <v>4.7450000000000001</v>
      </c>
      <c r="M17" s="70">
        <v>23.15</v>
      </c>
      <c r="T17" s="72"/>
      <c r="U17" s="73"/>
      <c r="V17" s="73"/>
      <c r="W17" s="72"/>
      <c r="X17" s="72"/>
      <c r="Y17" s="72"/>
      <c r="Z17" s="72"/>
      <c r="AA17" s="72"/>
      <c r="AB17" s="72"/>
      <c r="AS17" s="72"/>
      <c r="AT17" s="75"/>
      <c r="AU17" s="75"/>
      <c r="AV17" s="75"/>
      <c r="AW17" s="75"/>
      <c r="AX17" s="72"/>
      <c r="AY17" s="72"/>
      <c r="AZ17" s="72"/>
      <c r="BA17" s="72"/>
      <c r="BD17" s="69">
        <v>209.5</v>
      </c>
      <c r="BE17" s="69">
        <v>62.599999999999994</v>
      </c>
      <c r="BF17" s="69">
        <v>26.905000000000001</v>
      </c>
      <c r="BG17" s="69">
        <f t="shared" si="1"/>
        <v>146.9</v>
      </c>
      <c r="BH17" s="70">
        <v>47.712500000000006</v>
      </c>
      <c r="BK17" s="70">
        <v>1.3070000000000002</v>
      </c>
      <c r="BM17" s="70">
        <v>1.734</v>
      </c>
      <c r="BN17" s="70">
        <v>1.8690000000000002</v>
      </c>
      <c r="BU17" s="72"/>
      <c r="BV17" s="72"/>
      <c r="BW17" s="72"/>
      <c r="BX17" s="72"/>
      <c r="BY17" s="72"/>
      <c r="BZ17" s="72"/>
      <c r="CA17" s="72"/>
      <c r="CB17" s="72"/>
      <c r="CE17" s="69"/>
      <c r="CF17" s="69"/>
      <c r="CG17" s="69"/>
      <c r="CH17" s="69"/>
      <c r="CI17" s="76"/>
      <c r="CJ17" s="76"/>
      <c r="CK17" s="177"/>
      <c r="CL17" s="70"/>
      <c r="CM17" s="76"/>
      <c r="CN17" s="77"/>
      <c r="CO17" s="77"/>
      <c r="CP17" s="77"/>
      <c r="CQ17" s="77"/>
      <c r="CR17" s="77"/>
      <c r="CS17" s="66"/>
      <c r="CT17" s="66"/>
      <c r="CU17" s="66"/>
      <c r="CV17" s="66"/>
      <c r="CW17" s="66"/>
      <c r="CX17" s="66"/>
      <c r="CY17" s="66"/>
      <c r="CZ17" s="66"/>
      <c r="DA17" s="168"/>
      <c r="DB17" s="67"/>
      <c r="DC17" s="69"/>
      <c r="DD17" s="69"/>
      <c r="DE17" s="69"/>
      <c r="DF17" s="69"/>
      <c r="DG17" s="70"/>
      <c r="DH17" s="70"/>
      <c r="DI17" s="70"/>
      <c r="DJ17" s="177"/>
      <c r="DK17" s="177"/>
      <c r="DL17" s="70"/>
      <c r="DM17" s="70"/>
      <c r="DN17" s="71"/>
      <c r="DO17" s="71"/>
      <c r="DP17" s="180"/>
      <c r="DQ17" s="180"/>
      <c r="DR17" s="71"/>
      <c r="DS17" s="180"/>
      <c r="DT17" s="66"/>
      <c r="DU17" s="79"/>
      <c r="DV17" s="79"/>
      <c r="DW17" s="119"/>
      <c r="DX17" s="79"/>
      <c r="DY17" s="136"/>
      <c r="DZ17" s="168"/>
      <c r="EA17" s="74"/>
      <c r="EB17" s="78">
        <f t="shared" si="2"/>
        <v>5.5455365193868396</v>
      </c>
      <c r="EC17" s="78">
        <f t="shared" si="3"/>
        <v>-66.511504189386869</v>
      </c>
      <c r="ED17" s="78">
        <f t="shared" si="4"/>
        <v>-70.662860767523</v>
      </c>
      <c r="EE17" s="78">
        <f t="shared" si="5"/>
        <v>20.251893271083855</v>
      </c>
      <c r="EF17" s="79"/>
      <c r="EG17" s="66"/>
      <c r="EH17" s="66"/>
      <c r="EI17" s="66"/>
      <c r="EJ17" s="79"/>
      <c r="EK17" s="66"/>
      <c r="EL17" s="66"/>
      <c r="EM17" s="66"/>
      <c r="EN17" s="66"/>
      <c r="EO17" s="66"/>
      <c r="EP17" s="66"/>
    </row>
    <row r="18" spans="1:146" hidden="1" x14ac:dyDescent="0.3">
      <c r="A18" s="52">
        <v>44417</v>
      </c>
      <c r="C18" s="69">
        <v>128.25</v>
      </c>
      <c r="D18" s="69">
        <v>45.655000000000001</v>
      </c>
      <c r="E18" s="69">
        <v>17.97</v>
      </c>
      <c r="F18" s="69">
        <f t="shared" si="0"/>
        <v>82.594999999999999</v>
      </c>
      <c r="G18" s="70">
        <v>48.048500000000004</v>
      </c>
      <c r="J18" s="70">
        <v>0.73050000000000004</v>
      </c>
      <c r="L18" s="70">
        <v>6.0714999999999995</v>
      </c>
      <c r="M18" s="70">
        <v>22.621500000000001</v>
      </c>
      <c r="T18" s="72"/>
      <c r="U18" s="73"/>
      <c r="V18" s="73"/>
      <c r="W18" s="72"/>
      <c r="X18" s="72"/>
      <c r="Y18" s="72"/>
      <c r="Z18" s="72"/>
      <c r="AA18" s="72"/>
      <c r="AB18" s="72"/>
      <c r="AS18" s="72"/>
      <c r="AT18" s="75"/>
      <c r="AU18" s="75"/>
      <c r="AV18" s="75"/>
      <c r="AW18" s="75"/>
      <c r="AX18" s="72"/>
      <c r="AY18" s="72"/>
      <c r="AZ18" s="72"/>
      <c r="BA18" s="72"/>
      <c r="BD18" s="69">
        <v>212.89999999999998</v>
      </c>
      <c r="BE18" s="69">
        <v>72.849999999999994</v>
      </c>
      <c r="BF18" s="69">
        <v>33.534999999999997</v>
      </c>
      <c r="BG18" s="69">
        <f t="shared" si="1"/>
        <v>140.04999999999998</v>
      </c>
      <c r="BH18" s="70">
        <v>47.198</v>
      </c>
      <c r="BK18" s="70">
        <v>1.5490000000000002</v>
      </c>
      <c r="BM18" s="70">
        <v>1.4530000000000001</v>
      </c>
      <c r="BN18" s="70">
        <v>0.55449999999999999</v>
      </c>
      <c r="BU18" s="72"/>
      <c r="BV18" s="72"/>
      <c r="BW18" s="72"/>
      <c r="BX18" s="72"/>
      <c r="BY18" s="72"/>
      <c r="BZ18" s="72"/>
      <c r="CA18" s="72"/>
      <c r="CB18" s="72"/>
      <c r="CE18" s="69"/>
      <c r="CF18" s="69"/>
      <c r="CG18" s="69"/>
      <c r="CH18" s="69"/>
      <c r="CI18" s="76"/>
      <c r="CJ18" s="76"/>
      <c r="CK18" s="177"/>
      <c r="CL18" s="70"/>
      <c r="CM18" s="76"/>
      <c r="CN18" s="77"/>
      <c r="CO18" s="77"/>
      <c r="CP18" s="77"/>
      <c r="CQ18" s="77"/>
      <c r="CR18" s="77"/>
      <c r="CS18" s="66"/>
      <c r="CT18" s="66"/>
      <c r="CU18" s="66"/>
      <c r="CV18" s="66"/>
      <c r="CW18" s="66"/>
      <c r="CX18" s="66"/>
      <c r="CY18" s="66"/>
      <c r="CZ18" s="66"/>
      <c r="DA18" s="168"/>
      <c r="DB18" s="67"/>
      <c r="DC18" s="69"/>
      <c r="DD18" s="69"/>
      <c r="DE18" s="69"/>
      <c r="DF18" s="69"/>
      <c r="DG18" s="70"/>
      <c r="DH18" s="70"/>
      <c r="DI18" s="70"/>
      <c r="DJ18" s="177"/>
      <c r="DK18" s="177"/>
      <c r="DL18" s="70"/>
      <c r="DM18" s="70"/>
      <c r="DN18" s="71"/>
      <c r="DO18" s="71"/>
      <c r="DP18" s="180"/>
      <c r="DQ18" s="180"/>
      <c r="DR18" s="71"/>
      <c r="DS18" s="180"/>
      <c r="DT18" s="66"/>
      <c r="DU18" s="79"/>
      <c r="DV18" s="79"/>
      <c r="DW18" s="119"/>
      <c r="DX18" s="79"/>
      <c r="DY18" s="136"/>
      <c r="DZ18" s="168"/>
      <c r="EA18" s="74"/>
      <c r="EB18" s="78">
        <f t="shared" si="2"/>
        <v>-66.003898635477583</v>
      </c>
      <c r="EC18" s="78">
        <f t="shared" si="3"/>
        <v>-59.566312561603318</v>
      </c>
      <c r="ED18" s="78">
        <f t="shared" si="4"/>
        <v>-86.616583194212566</v>
      </c>
      <c r="EE18" s="78">
        <f t="shared" si="5"/>
        <v>-69.562322174465734</v>
      </c>
      <c r="EF18" s="79"/>
      <c r="EG18" s="66"/>
      <c r="EH18" s="66"/>
      <c r="EI18" s="66"/>
      <c r="EJ18" s="79"/>
      <c r="EK18" s="66"/>
      <c r="EL18" s="66"/>
      <c r="EM18" s="66"/>
      <c r="EN18" s="66"/>
      <c r="EO18" s="66"/>
      <c r="EP18" s="66"/>
    </row>
    <row r="19" spans="1:146" hidden="1" x14ac:dyDescent="0.3">
      <c r="A19" s="52">
        <v>44418</v>
      </c>
      <c r="C19" s="69">
        <v>216.4</v>
      </c>
      <c r="D19" s="69">
        <v>62.95</v>
      </c>
      <c r="E19" s="69">
        <v>31.344999999999999</v>
      </c>
      <c r="F19" s="69">
        <f t="shared" si="0"/>
        <v>153.44999999999999</v>
      </c>
      <c r="G19" s="70">
        <v>53.3735</v>
      </c>
      <c r="J19" s="70">
        <v>1.2175</v>
      </c>
      <c r="L19" s="70">
        <v>8.870000000000001</v>
      </c>
      <c r="M19" s="70">
        <v>24.581499999999998</v>
      </c>
      <c r="T19" s="72"/>
      <c r="U19" s="73"/>
      <c r="V19" s="73"/>
      <c r="W19" s="72"/>
      <c r="X19" s="72"/>
      <c r="Y19" s="72"/>
      <c r="Z19" s="72"/>
      <c r="AA19" s="72"/>
      <c r="AB19" s="72"/>
      <c r="AS19" s="72"/>
      <c r="AT19" s="75"/>
      <c r="AU19" s="75"/>
      <c r="AV19" s="75"/>
      <c r="AW19" s="75"/>
      <c r="AX19" s="72"/>
      <c r="AY19" s="72"/>
      <c r="AZ19" s="72"/>
      <c r="BA19" s="72"/>
      <c r="BD19" s="69">
        <v>217.45000000000002</v>
      </c>
      <c r="BE19" s="69">
        <v>79.900000000000006</v>
      </c>
      <c r="BF19" s="69">
        <v>28.060000000000002</v>
      </c>
      <c r="BG19" s="69">
        <f t="shared" si="1"/>
        <v>137.55000000000001</v>
      </c>
      <c r="BH19" s="70">
        <v>46.914000000000001</v>
      </c>
      <c r="BK19" s="70">
        <v>1.5325</v>
      </c>
      <c r="BM19" s="70">
        <v>2.782</v>
      </c>
      <c r="BN19" s="70">
        <v>0.88900000000000001</v>
      </c>
      <c r="BU19" s="72"/>
      <c r="BV19" s="72"/>
      <c r="BW19" s="72"/>
      <c r="BX19" s="72"/>
      <c r="BY19" s="72"/>
      <c r="BZ19" s="72"/>
      <c r="CA19" s="72"/>
      <c r="CB19" s="72"/>
      <c r="CE19" s="69"/>
      <c r="CF19" s="69"/>
      <c r="CG19" s="69"/>
      <c r="CH19" s="69"/>
      <c r="CI19" s="76"/>
      <c r="CJ19" s="76"/>
      <c r="CK19" s="177"/>
      <c r="CL19" s="70"/>
      <c r="CM19" s="76"/>
      <c r="CN19" s="77"/>
      <c r="CO19" s="77"/>
      <c r="CP19" s="77"/>
      <c r="CQ19" s="77"/>
      <c r="CR19" s="77"/>
      <c r="CS19" s="66"/>
      <c r="CT19" s="66"/>
      <c r="CU19" s="66"/>
      <c r="CV19" s="66"/>
      <c r="CW19" s="66"/>
      <c r="CX19" s="66"/>
      <c r="CY19" s="66"/>
      <c r="CZ19" s="66"/>
      <c r="DA19" s="168"/>
      <c r="DB19" s="67"/>
      <c r="DC19" s="69"/>
      <c r="DD19" s="69"/>
      <c r="DE19" s="69"/>
      <c r="DF19" s="69"/>
      <c r="DG19" s="70"/>
      <c r="DH19" s="70"/>
      <c r="DI19" s="70"/>
      <c r="DJ19" s="177"/>
      <c r="DK19" s="177"/>
      <c r="DL19" s="70"/>
      <c r="DM19" s="70"/>
      <c r="DN19" s="71"/>
      <c r="DO19" s="71"/>
      <c r="DP19" s="180"/>
      <c r="DQ19" s="180"/>
      <c r="DR19" s="71"/>
      <c r="DS19" s="180"/>
      <c r="DT19" s="66"/>
      <c r="DU19" s="79"/>
      <c r="DV19" s="79"/>
      <c r="DW19" s="119"/>
      <c r="DX19" s="79"/>
      <c r="DY19" s="136"/>
      <c r="DZ19" s="168"/>
      <c r="EA19" s="74"/>
      <c r="EB19" s="78">
        <f t="shared" si="2"/>
        <v>-0.4852125693160847</v>
      </c>
      <c r="EC19" s="78">
        <f t="shared" si="3"/>
        <v>-26.926131850675141</v>
      </c>
      <c r="ED19" s="78">
        <f t="shared" si="4"/>
        <v>10.480140373265268</v>
      </c>
      <c r="EE19" s="78">
        <f t="shared" si="5"/>
        <v>10.361681329423256</v>
      </c>
      <c r="EF19" s="79"/>
      <c r="EG19" s="66"/>
      <c r="EH19" s="66"/>
      <c r="EI19" s="66"/>
      <c r="EJ19" s="79"/>
      <c r="EK19" s="66"/>
      <c r="EL19" s="66"/>
      <c r="EM19" s="66"/>
      <c r="EN19" s="66"/>
      <c r="EO19" s="66"/>
      <c r="EP19" s="66"/>
    </row>
    <row r="20" spans="1:146" hidden="1" x14ac:dyDescent="0.3">
      <c r="A20" s="52">
        <v>44419</v>
      </c>
      <c r="C20" s="69">
        <v>135.6</v>
      </c>
      <c r="D20" s="69">
        <v>58</v>
      </c>
      <c r="E20" s="69">
        <v>21.34</v>
      </c>
      <c r="F20" s="69">
        <f t="shared" si="0"/>
        <v>77.599999999999994</v>
      </c>
      <c r="G20" s="70">
        <v>44.177</v>
      </c>
      <c r="L20" s="70">
        <v>7.1105</v>
      </c>
      <c r="M20" s="70">
        <v>23.001000000000001</v>
      </c>
      <c r="T20" s="72"/>
      <c r="U20" s="73"/>
      <c r="V20" s="73"/>
      <c r="W20" s="72"/>
      <c r="X20" s="72"/>
      <c r="Y20" s="72"/>
      <c r="Z20" s="72"/>
      <c r="AA20" s="72"/>
      <c r="AB20" s="72"/>
      <c r="AD20" s="74">
        <v>6.99</v>
      </c>
      <c r="AS20" s="72"/>
      <c r="AT20" s="75"/>
      <c r="AU20" s="75"/>
      <c r="AV20" s="75"/>
      <c r="AW20" s="75"/>
      <c r="AX20" s="72"/>
      <c r="AY20" s="72"/>
      <c r="AZ20" s="72"/>
      <c r="BA20" s="72"/>
      <c r="BD20" s="69">
        <v>196.85</v>
      </c>
      <c r="BE20" s="69">
        <v>69.650000000000006</v>
      </c>
      <c r="BF20" s="69">
        <v>27.985000000000003</v>
      </c>
      <c r="BG20" s="69">
        <f t="shared" si="1"/>
        <v>127.19999999999999</v>
      </c>
      <c r="BH20" s="70">
        <v>48.314999999999998</v>
      </c>
      <c r="BK20" s="70">
        <v>4.4999999999999998E-2</v>
      </c>
      <c r="BM20" s="70">
        <v>8.4375</v>
      </c>
      <c r="BN20" s="70">
        <v>1.875</v>
      </c>
      <c r="BU20" s="72"/>
      <c r="BV20" s="72"/>
      <c r="BW20" s="72"/>
      <c r="BX20" s="72"/>
      <c r="BY20" s="72"/>
      <c r="BZ20" s="72"/>
      <c r="CA20" s="72"/>
      <c r="CB20" s="72"/>
      <c r="CD20" s="74">
        <v>6.67</v>
      </c>
      <c r="CE20" s="69"/>
      <c r="CF20" s="69"/>
      <c r="CG20" s="69"/>
      <c r="CH20" s="69"/>
      <c r="CI20" s="76"/>
      <c r="CJ20" s="76"/>
      <c r="CK20" s="177"/>
      <c r="CL20" s="70"/>
      <c r="CM20" s="76"/>
      <c r="CN20" s="77"/>
      <c r="CO20" s="77"/>
      <c r="CP20" s="77"/>
      <c r="CQ20" s="77"/>
      <c r="CR20" s="77"/>
      <c r="CS20" s="66"/>
      <c r="CT20" s="66"/>
      <c r="CU20" s="66"/>
      <c r="CV20" s="66"/>
      <c r="CW20" s="66"/>
      <c r="CX20" s="66"/>
      <c r="CY20" s="66"/>
      <c r="CZ20" s="66"/>
      <c r="DA20" s="168"/>
      <c r="DB20" s="67"/>
      <c r="DC20" s="69"/>
      <c r="DD20" s="69"/>
      <c r="DE20" s="69"/>
      <c r="DF20" s="69"/>
      <c r="DG20" s="70"/>
      <c r="DH20" s="70"/>
      <c r="DI20" s="70"/>
      <c r="DJ20" s="177"/>
      <c r="DK20" s="177"/>
      <c r="DL20" s="70"/>
      <c r="DM20" s="70"/>
      <c r="DN20" s="71"/>
      <c r="DO20" s="71"/>
      <c r="DP20" s="180"/>
      <c r="DQ20" s="180"/>
      <c r="DR20" s="71"/>
      <c r="DS20" s="180"/>
      <c r="DT20" s="66"/>
      <c r="DU20" s="79"/>
      <c r="DV20" s="79"/>
      <c r="DW20" s="119"/>
      <c r="DX20" s="79"/>
      <c r="DY20" s="136"/>
      <c r="DZ20" s="168"/>
      <c r="EA20" s="74"/>
      <c r="EB20" s="78">
        <f t="shared" si="2"/>
        <v>-45.169616519174042</v>
      </c>
      <c r="EC20" s="78">
        <f t="shared" si="3"/>
        <v>-20.08620689655174</v>
      </c>
      <c r="ED20" s="78">
        <f t="shared" si="4"/>
        <v>-31.138706654170576</v>
      </c>
      <c r="EE20" s="78">
        <f t="shared" si="5"/>
        <v>-63.917525773195869</v>
      </c>
      <c r="EF20" s="79"/>
      <c r="EG20" s="66"/>
      <c r="EH20" s="66"/>
      <c r="EI20" s="66"/>
      <c r="EJ20" s="79"/>
      <c r="EK20" s="66"/>
      <c r="EL20" s="66"/>
      <c r="EM20" s="66"/>
      <c r="EN20" s="66"/>
      <c r="EO20" s="66"/>
      <c r="EP20" s="66"/>
    </row>
    <row r="21" spans="1:146" hidden="1" x14ac:dyDescent="0.3">
      <c r="A21" s="52">
        <v>44420</v>
      </c>
      <c r="C21" s="69">
        <v>231.1</v>
      </c>
      <c r="D21" s="69">
        <v>54.45</v>
      </c>
      <c r="E21" s="69">
        <v>22.29</v>
      </c>
      <c r="F21" s="69">
        <f t="shared" si="0"/>
        <v>176.64999999999998</v>
      </c>
      <c r="G21" s="70">
        <v>49.132499999999993</v>
      </c>
      <c r="L21" s="70">
        <v>1.2749999999999999</v>
      </c>
      <c r="M21" s="70">
        <v>22.8415</v>
      </c>
      <c r="T21" s="72"/>
      <c r="U21" s="73"/>
      <c r="V21" s="73"/>
      <c r="W21" s="72"/>
      <c r="X21" s="72"/>
      <c r="Y21" s="72"/>
      <c r="Z21" s="72"/>
      <c r="AA21" s="72"/>
      <c r="AB21" s="72"/>
      <c r="AD21" s="74">
        <v>6.77</v>
      </c>
      <c r="AS21" s="72"/>
      <c r="AT21" s="75"/>
      <c r="AU21" s="75"/>
      <c r="AV21" s="75"/>
      <c r="AW21" s="75"/>
      <c r="AX21" s="72"/>
      <c r="AY21" s="72"/>
      <c r="AZ21" s="72"/>
      <c r="BA21" s="72"/>
      <c r="BD21" s="69">
        <v>197.8</v>
      </c>
      <c r="BE21" s="69">
        <v>52.800000000000004</v>
      </c>
      <c r="BF21" s="69">
        <v>26.035</v>
      </c>
      <c r="BG21" s="69">
        <f t="shared" si="1"/>
        <v>145</v>
      </c>
      <c r="BH21" s="70">
        <v>48.537499999999994</v>
      </c>
      <c r="BM21" s="70">
        <v>9.1304999999999996</v>
      </c>
      <c r="BN21" s="70">
        <v>1.1135000000000002</v>
      </c>
      <c r="BU21" s="72"/>
      <c r="BV21" s="72"/>
      <c r="BW21" s="72"/>
      <c r="BX21" s="72"/>
      <c r="BY21" s="72"/>
      <c r="BZ21" s="72"/>
      <c r="CA21" s="72"/>
      <c r="CB21" s="72"/>
      <c r="CD21" s="74">
        <v>6.51</v>
      </c>
      <c r="CE21" s="69"/>
      <c r="CF21" s="69"/>
      <c r="CG21" s="69"/>
      <c r="CH21" s="69"/>
      <c r="CI21" s="76"/>
      <c r="CJ21" s="76"/>
      <c r="CK21" s="177"/>
      <c r="CL21" s="70"/>
      <c r="CM21" s="76"/>
      <c r="CN21" s="77"/>
      <c r="CO21" s="77"/>
      <c r="CP21" s="77"/>
      <c r="CQ21" s="77"/>
      <c r="CR21" s="77"/>
      <c r="CS21" s="66"/>
      <c r="CT21" s="66"/>
      <c r="CU21" s="66"/>
      <c r="CV21" s="66"/>
      <c r="CW21" s="66"/>
      <c r="CX21" s="66"/>
      <c r="CY21" s="66"/>
      <c r="CZ21" s="66"/>
      <c r="DA21" s="168"/>
      <c r="DB21" s="67"/>
      <c r="DC21" s="69"/>
      <c r="DD21" s="69"/>
      <c r="DE21" s="69"/>
      <c r="DF21" s="69"/>
      <c r="DG21" s="70"/>
      <c r="DH21" s="70"/>
      <c r="DI21" s="70"/>
      <c r="DJ21" s="177"/>
      <c r="DK21" s="177"/>
      <c r="DL21" s="70"/>
      <c r="DM21" s="70"/>
      <c r="DN21" s="71"/>
      <c r="DO21" s="71"/>
      <c r="DP21" s="180"/>
      <c r="DQ21" s="180"/>
      <c r="DR21" s="71"/>
      <c r="DS21" s="180"/>
      <c r="DT21" s="66"/>
      <c r="DU21" s="79"/>
      <c r="DV21" s="79"/>
      <c r="DW21" s="119"/>
      <c r="DX21" s="79"/>
      <c r="DY21" s="136"/>
      <c r="DZ21" s="168"/>
      <c r="EA21" s="74"/>
      <c r="EB21" s="78">
        <f t="shared" si="2"/>
        <v>14.409346603202067</v>
      </c>
      <c r="EC21" s="78">
        <f t="shared" si="3"/>
        <v>3.0303030303030276</v>
      </c>
      <c r="ED21" s="78">
        <f t="shared" si="4"/>
        <v>-16.801256168685509</v>
      </c>
      <c r="EE21" s="78">
        <f t="shared" si="5"/>
        <v>17.916784602320966</v>
      </c>
      <c r="EF21" s="79"/>
      <c r="EG21" s="66"/>
      <c r="EH21" s="66"/>
      <c r="EI21" s="66"/>
      <c r="EJ21" s="79"/>
      <c r="EK21" s="66"/>
      <c r="EL21" s="66"/>
      <c r="EM21" s="66"/>
      <c r="EN21" s="66"/>
      <c r="EO21" s="66"/>
      <c r="EP21" s="66"/>
    </row>
    <row r="22" spans="1:146" hidden="1" x14ac:dyDescent="0.3">
      <c r="A22" s="52">
        <v>44425</v>
      </c>
      <c r="C22" s="69">
        <v>168.25</v>
      </c>
      <c r="D22" s="69">
        <v>60.55</v>
      </c>
      <c r="E22" s="69">
        <v>34.005000000000003</v>
      </c>
      <c r="F22" s="69">
        <f t="shared" si="0"/>
        <v>107.7</v>
      </c>
      <c r="G22" s="70">
        <v>64.081999999999994</v>
      </c>
      <c r="J22" s="70">
        <v>1.4580000000000002</v>
      </c>
      <c r="L22" s="70">
        <v>9.6739999999999995</v>
      </c>
      <c r="M22" s="70">
        <v>24.494500000000002</v>
      </c>
      <c r="T22" s="72"/>
      <c r="U22" s="73"/>
      <c r="V22" s="73"/>
      <c r="W22" s="72"/>
      <c r="X22" s="72"/>
      <c r="Y22" s="72"/>
      <c r="Z22" s="72"/>
      <c r="AA22" s="72"/>
      <c r="AB22" s="72"/>
      <c r="AD22" s="74">
        <v>7.49</v>
      </c>
      <c r="AS22" s="72"/>
      <c r="AT22" s="75"/>
      <c r="AU22" s="75"/>
      <c r="AV22" s="75"/>
      <c r="AW22" s="75"/>
      <c r="AX22" s="72"/>
      <c r="AY22" s="72"/>
      <c r="AZ22" s="72"/>
      <c r="BA22" s="72"/>
      <c r="BU22" s="72"/>
      <c r="BV22" s="72"/>
      <c r="BW22" s="72"/>
      <c r="BX22" s="72"/>
      <c r="BY22" s="72"/>
      <c r="BZ22" s="72"/>
      <c r="CA22" s="72"/>
      <c r="CB22" s="72"/>
      <c r="CE22" s="69"/>
      <c r="CF22" s="69"/>
      <c r="CG22" s="69"/>
      <c r="CH22" s="69"/>
      <c r="CI22" s="76"/>
      <c r="CJ22" s="76"/>
      <c r="CK22" s="177"/>
      <c r="CL22" s="70"/>
      <c r="CM22" s="76"/>
      <c r="CN22" s="77"/>
      <c r="CO22" s="77"/>
      <c r="CP22" s="77"/>
      <c r="CQ22" s="77"/>
      <c r="CR22" s="77"/>
      <c r="CS22" s="66"/>
      <c r="CT22" s="66"/>
      <c r="CU22" s="66"/>
      <c r="CV22" s="66"/>
      <c r="CW22" s="66"/>
      <c r="CX22" s="66"/>
      <c r="CY22" s="66"/>
      <c r="CZ22" s="66"/>
      <c r="DA22" s="168"/>
      <c r="DB22" s="67"/>
      <c r="DC22" s="69"/>
      <c r="DD22" s="69"/>
      <c r="DE22" s="69"/>
      <c r="DF22" s="69"/>
      <c r="DG22" s="70"/>
      <c r="DH22" s="70"/>
      <c r="DI22" s="70"/>
      <c r="DJ22" s="177"/>
      <c r="DK22" s="177"/>
      <c r="DL22" s="70"/>
      <c r="DM22" s="70"/>
      <c r="DN22" s="71"/>
      <c r="DO22" s="71"/>
      <c r="DP22" s="180"/>
      <c r="DQ22" s="180"/>
      <c r="DR22" s="71"/>
      <c r="DS22" s="180"/>
      <c r="DT22" s="66"/>
      <c r="DU22" s="79"/>
      <c r="DV22" s="79"/>
      <c r="DW22" s="119"/>
      <c r="DX22" s="79"/>
      <c r="DY22" s="136"/>
      <c r="DZ22" s="168"/>
      <c r="EA22" s="74"/>
      <c r="EB22" s="78"/>
      <c r="EC22" s="78"/>
      <c r="ED22" s="78"/>
      <c r="EE22" s="78"/>
      <c r="EF22" s="79"/>
      <c r="EG22" s="66"/>
      <c r="EH22" s="66"/>
      <c r="EI22" s="66"/>
      <c r="EJ22" s="79"/>
      <c r="EK22" s="66"/>
      <c r="EL22" s="66"/>
      <c r="EM22" s="66"/>
      <c r="EN22" s="66"/>
      <c r="EO22" s="66"/>
      <c r="EP22" s="66"/>
    </row>
    <row r="23" spans="1:146" hidden="1" x14ac:dyDescent="0.3">
      <c r="A23" s="52">
        <v>44426</v>
      </c>
      <c r="C23" s="69">
        <v>155.44999999999999</v>
      </c>
      <c r="D23" s="69">
        <v>48.864999999999995</v>
      </c>
      <c r="E23" s="69">
        <v>22.214999999999996</v>
      </c>
      <c r="F23" s="69">
        <f t="shared" si="0"/>
        <v>106.58499999999999</v>
      </c>
      <c r="G23" s="70">
        <v>64.408000000000001</v>
      </c>
      <c r="J23" s="70">
        <v>1.2349999999999999</v>
      </c>
      <c r="L23" s="70">
        <v>4.3659999999999997</v>
      </c>
      <c r="M23" s="70">
        <v>24.836500000000001</v>
      </c>
      <c r="T23" s="72"/>
      <c r="U23" s="73"/>
      <c r="V23" s="73"/>
      <c r="W23" s="72"/>
      <c r="X23" s="72"/>
      <c r="Y23" s="72"/>
      <c r="Z23" s="72"/>
      <c r="AA23" s="72"/>
      <c r="AB23" s="72"/>
      <c r="AD23" s="74">
        <v>7.54</v>
      </c>
      <c r="AS23" s="72"/>
      <c r="AT23" s="75"/>
      <c r="AU23" s="75"/>
      <c r="AV23" s="75"/>
      <c r="AW23" s="75"/>
      <c r="AX23" s="72"/>
      <c r="AY23" s="72"/>
      <c r="AZ23" s="72"/>
      <c r="BA23" s="72"/>
      <c r="BC23" s="74">
        <v>7.2</v>
      </c>
      <c r="BD23" s="69">
        <v>812.5</v>
      </c>
      <c r="BE23" s="69">
        <v>143.85</v>
      </c>
      <c r="BF23" s="69">
        <v>114.45</v>
      </c>
      <c r="BG23" s="69">
        <f>BD23-BE23</f>
        <v>668.65</v>
      </c>
      <c r="BH23" s="70">
        <v>66.718000000000004</v>
      </c>
      <c r="BK23" s="70">
        <v>5.9140000000000006</v>
      </c>
      <c r="BN23" s="70">
        <v>2.5950000000000002</v>
      </c>
      <c r="BU23" s="72"/>
      <c r="BV23" s="72"/>
      <c r="BW23" s="72"/>
      <c r="BX23" s="72"/>
      <c r="BY23" s="72"/>
      <c r="BZ23" s="72"/>
      <c r="CA23" s="72"/>
      <c r="CB23" s="72"/>
      <c r="CD23" s="74">
        <v>7.07</v>
      </c>
      <c r="CE23" s="69"/>
      <c r="CF23" s="69"/>
      <c r="CG23" s="69"/>
      <c r="CH23" s="69"/>
      <c r="CI23" s="76"/>
      <c r="CJ23" s="76"/>
      <c r="CK23" s="177"/>
      <c r="CL23" s="70"/>
      <c r="CM23" s="76"/>
      <c r="CN23" s="77"/>
      <c r="CO23" s="77"/>
      <c r="CP23" s="77"/>
      <c r="CQ23" s="77"/>
      <c r="CR23" s="77"/>
      <c r="CS23" s="66"/>
      <c r="CT23" s="66"/>
      <c r="CU23" s="66"/>
      <c r="CV23" s="66"/>
      <c r="CW23" s="66"/>
      <c r="CX23" s="66"/>
      <c r="CY23" s="66"/>
      <c r="CZ23" s="66"/>
      <c r="DA23" s="168"/>
      <c r="DB23" s="67"/>
      <c r="DC23" s="69"/>
      <c r="DD23" s="69"/>
      <c r="DE23" s="69"/>
      <c r="DF23" s="69"/>
      <c r="DG23" s="70"/>
      <c r="DH23" s="70"/>
      <c r="DI23" s="70"/>
      <c r="DJ23" s="177"/>
      <c r="DK23" s="177"/>
      <c r="DL23" s="70"/>
      <c r="DM23" s="70"/>
      <c r="DN23" s="71"/>
      <c r="DO23" s="71"/>
      <c r="DP23" s="180"/>
      <c r="DQ23" s="180"/>
      <c r="DR23" s="71"/>
      <c r="DS23" s="180"/>
      <c r="DT23" s="66"/>
      <c r="DU23" s="79"/>
      <c r="DV23" s="79"/>
      <c r="DW23" s="119"/>
      <c r="DX23" s="79"/>
      <c r="DY23" s="136"/>
      <c r="DZ23" s="168"/>
      <c r="EA23" s="74"/>
      <c r="EB23" s="78">
        <f t="shared" ref="EB23:EE24" si="6">(1-BD23/C23)*100</f>
        <v>-422.67610164039888</v>
      </c>
      <c r="EC23" s="78">
        <f t="shared" si="6"/>
        <v>-194.38248234932982</v>
      </c>
      <c r="ED23" s="78">
        <f t="shared" si="6"/>
        <v>-415.19243754220128</v>
      </c>
      <c r="EE23" s="78">
        <f t="shared" si="6"/>
        <v>-527.33968194398835</v>
      </c>
      <c r="EF23" s="79"/>
      <c r="EG23" s="66"/>
      <c r="EH23" s="66"/>
      <c r="EI23" s="66"/>
      <c r="EJ23" s="79"/>
      <c r="EK23" s="66"/>
      <c r="EL23" s="66"/>
      <c r="EM23" s="66"/>
      <c r="EN23" s="66"/>
      <c r="EO23" s="66"/>
      <c r="EP23" s="66"/>
    </row>
    <row r="24" spans="1:146" hidden="1" x14ac:dyDescent="0.3">
      <c r="A24" s="52">
        <v>44428</v>
      </c>
      <c r="C24" s="69">
        <v>176.35000000000002</v>
      </c>
      <c r="D24" s="69">
        <v>46.63</v>
      </c>
      <c r="E24" s="69">
        <v>19.404999999999998</v>
      </c>
      <c r="F24" s="69">
        <f t="shared" si="0"/>
        <v>129.72000000000003</v>
      </c>
      <c r="G24" s="70">
        <v>44.144500000000008</v>
      </c>
      <c r="J24" s="70">
        <v>0.98550000000000004</v>
      </c>
      <c r="L24" s="70">
        <v>7.2230000000000008</v>
      </c>
      <c r="M24" s="70">
        <v>29.054000000000002</v>
      </c>
      <c r="T24" s="72"/>
      <c r="U24" s="73"/>
      <c r="V24" s="73"/>
      <c r="W24" s="72"/>
      <c r="X24" s="72"/>
      <c r="Y24" s="72"/>
      <c r="Z24" s="72"/>
      <c r="AA24" s="72"/>
      <c r="AB24" s="72"/>
      <c r="AS24" s="72"/>
      <c r="AT24" s="75"/>
      <c r="AU24" s="75"/>
      <c r="AV24" s="75"/>
      <c r="AW24" s="75"/>
      <c r="AX24" s="72"/>
      <c r="AY24" s="72"/>
      <c r="AZ24" s="72"/>
      <c r="BA24" s="72"/>
      <c r="BD24" s="69">
        <v>702</v>
      </c>
      <c r="BE24" s="69">
        <v>161.14999999999998</v>
      </c>
      <c r="BF24" s="69">
        <v>97.449999999999989</v>
      </c>
      <c r="BG24" s="69">
        <f>BD24-BE24</f>
        <v>540.85</v>
      </c>
      <c r="BH24" s="70">
        <v>64.525499999999994</v>
      </c>
      <c r="BK24" s="70">
        <v>6.2294999999999998</v>
      </c>
      <c r="BN24" s="70">
        <v>1.514</v>
      </c>
      <c r="BU24" s="72"/>
      <c r="BV24" s="72"/>
      <c r="BW24" s="72"/>
      <c r="BX24" s="72"/>
      <c r="BY24" s="72"/>
      <c r="BZ24" s="72"/>
      <c r="CA24" s="72"/>
      <c r="CB24" s="72"/>
      <c r="CE24" s="69"/>
      <c r="CF24" s="69"/>
      <c r="CG24" s="69"/>
      <c r="CH24" s="69"/>
      <c r="CI24" s="76"/>
      <c r="CJ24" s="76"/>
      <c r="CK24" s="177"/>
      <c r="CL24" s="70"/>
      <c r="CM24" s="76"/>
      <c r="CN24" s="77"/>
      <c r="CO24" s="77"/>
      <c r="CP24" s="77"/>
      <c r="CQ24" s="77"/>
      <c r="CR24" s="77"/>
      <c r="CS24" s="66"/>
      <c r="CT24" s="66"/>
      <c r="CU24" s="66"/>
      <c r="CV24" s="66"/>
      <c r="CW24" s="66"/>
      <c r="CX24" s="66"/>
      <c r="CY24" s="66"/>
      <c r="CZ24" s="66"/>
      <c r="DA24" s="168"/>
      <c r="DB24" s="67"/>
      <c r="DC24" s="69"/>
      <c r="DD24" s="69"/>
      <c r="DE24" s="69"/>
      <c r="DF24" s="69"/>
      <c r="DG24" s="70"/>
      <c r="DH24" s="70"/>
      <c r="DI24" s="70"/>
      <c r="DJ24" s="177"/>
      <c r="DK24" s="177"/>
      <c r="DL24" s="70"/>
      <c r="DM24" s="70"/>
      <c r="DN24" s="71"/>
      <c r="DO24" s="71"/>
      <c r="DP24" s="180"/>
      <c r="DQ24" s="180"/>
      <c r="DR24" s="71"/>
      <c r="DS24" s="180"/>
      <c r="DT24" s="66"/>
      <c r="DU24" s="79"/>
      <c r="DV24" s="79"/>
      <c r="DW24" s="119"/>
      <c r="DX24" s="79"/>
      <c r="DY24" s="136"/>
      <c r="DZ24" s="168"/>
      <c r="EA24" s="74"/>
      <c r="EB24" s="78">
        <f t="shared" si="6"/>
        <v>-298.07201587751626</v>
      </c>
      <c r="EC24" s="78">
        <f t="shared" si="6"/>
        <v>-245.59296590177988</v>
      </c>
      <c r="ED24" s="78">
        <f t="shared" si="6"/>
        <v>-402.19015717598563</v>
      </c>
      <c r="EE24" s="78">
        <f t="shared" si="6"/>
        <v>-316.93647856922598</v>
      </c>
      <c r="EF24" s="79"/>
      <c r="EG24" s="66"/>
      <c r="EH24" s="66"/>
      <c r="EI24" s="66"/>
      <c r="EJ24" s="79"/>
      <c r="EK24" s="66"/>
      <c r="EL24" s="66"/>
      <c r="EM24" s="66"/>
      <c r="EN24" s="66"/>
      <c r="EO24" s="66"/>
      <c r="EP24" s="66"/>
    </row>
    <row r="25" spans="1:146" hidden="1" x14ac:dyDescent="0.3">
      <c r="A25" s="52">
        <v>44432</v>
      </c>
      <c r="T25" s="72"/>
      <c r="U25" s="73"/>
      <c r="V25" s="73"/>
      <c r="W25" s="72"/>
      <c r="X25" s="72"/>
      <c r="Y25" s="72"/>
      <c r="Z25" s="72"/>
      <c r="AA25" s="72"/>
      <c r="AB25" s="72"/>
      <c r="AS25" s="72"/>
      <c r="AT25" s="75"/>
      <c r="AU25" s="75"/>
      <c r="AV25" s="75"/>
      <c r="AW25" s="75"/>
      <c r="AX25" s="72"/>
      <c r="AY25" s="72"/>
      <c r="AZ25" s="72"/>
      <c r="BA25" s="72"/>
      <c r="BD25" s="69">
        <v>628.5</v>
      </c>
      <c r="BE25" s="69">
        <v>209.35</v>
      </c>
      <c r="BF25" s="69">
        <v>102.75</v>
      </c>
      <c r="BG25" s="69">
        <f>BD25-BE25</f>
        <v>419.15</v>
      </c>
      <c r="BH25" s="70">
        <v>62.548000000000002</v>
      </c>
      <c r="BK25" s="70">
        <v>8.323500000000001</v>
      </c>
      <c r="BN25" s="70">
        <v>2.5750000000000002</v>
      </c>
      <c r="BU25" s="72"/>
      <c r="BV25" s="72"/>
      <c r="BW25" s="72"/>
      <c r="BX25" s="72"/>
      <c r="BY25" s="72"/>
      <c r="BZ25" s="72"/>
      <c r="CA25" s="72"/>
      <c r="CB25" s="72"/>
      <c r="CE25" s="69"/>
      <c r="CF25" s="69"/>
      <c r="CG25" s="69"/>
      <c r="CH25" s="69"/>
      <c r="CI25" s="76"/>
      <c r="CJ25" s="76"/>
      <c r="CK25" s="177"/>
      <c r="CL25" s="70"/>
      <c r="CM25" s="76"/>
      <c r="CN25" s="77"/>
      <c r="CO25" s="77"/>
      <c r="CP25" s="77"/>
      <c r="CQ25" s="77"/>
      <c r="CR25" s="77"/>
      <c r="CS25" s="66"/>
      <c r="CT25" s="66"/>
      <c r="CU25" s="66"/>
      <c r="CV25" s="66"/>
      <c r="CW25" s="66"/>
      <c r="CX25" s="66"/>
      <c r="CY25" s="66"/>
      <c r="CZ25" s="66"/>
      <c r="DA25" s="168"/>
      <c r="DB25" s="67"/>
      <c r="DC25" s="69"/>
      <c r="DD25" s="69"/>
      <c r="DE25" s="69"/>
      <c r="DF25" s="69"/>
      <c r="DG25" s="70"/>
      <c r="DH25" s="70"/>
      <c r="DI25" s="70"/>
      <c r="DJ25" s="177"/>
      <c r="DK25" s="177"/>
      <c r="DL25" s="70"/>
      <c r="DM25" s="70"/>
      <c r="DN25" s="71"/>
      <c r="DO25" s="71"/>
      <c r="DP25" s="180"/>
      <c r="DQ25" s="180"/>
      <c r="DR25" s="71"/>
      <c r="DS25" s="180"/>
      <c r="DT25" s="66"/>
      <c r="DU25" s="79"/>
      <c r="DV25" s="79"/>
      <c r="DW25" s="119"/>
      <c r="DX25" s="79"/>
      <c r="DY25" s="136"/>
      <c r="DZ25" s="168"/>
      <c r="EA25" s="74"/>
      <c r="EB25" s="78"/>
      <c r="EC25" s="78"/>
      <c r="ED25" s="78"/>
      <c r="EE25" s="78"/>
      <c r="EF25" s="79"/>
      <c r="EG25" s="66"/>
      <c r="EH25" s="66"/>
      <c r="EI25" s="66"/>
      <c r="EJ25" s="79"/>
      <c r="EK25" s="66"/>
      <c r="EL25" s="66"/>
      <c r="EM25" s="66"/>
      <c r="EN25" s="66"/>
      <c r="EO25" s="66"/>
      <c r="EP25" s="66"/>
    </row>
    <row r="26" spans="1:146" hidden="1" x14ac:dyDescent="0.3">
      <c r="A26" s="52">
        <v>44433</v>
      </c>
      <c r="T26" s="72"/>
      <c r="U26" s="73"/>
      <c r="V26" s="73"/>
      <c r="W26" s="72"/>
      <c r="X26" s="72"/>
      <c r="Y26" s="72"/>
      <c r="Z26" s="72"/>
      <c r="AA26" s="72"/>
      <c r="AB26" s="72"/>
      <c r="AS26" s="72"/>
      <c r="AT26" s="75"/>
      <c r="AU26" s="75"/>
      <c r="AV26" s="75"/>
      <c r="AW26" s="75"/>
      <c r="AX26" s="72"/>
      <c r="AY26" s="72"/>
      <c r="AZ26" s="72"/>
      <c r="BA26" s="72"/>
      <c r="BD26" s="69">
        <v>567.5</v>
      </c>
      <c r="BE26" s="69">
        <v>208.95</v>
      </c>
      <c r="BF26" s="69">
        <v>100.7</v>
      </c>
      <c r="BG26" s="69">
        <f>BD26-BE26</f>
        <v>358.55</v>
      </c>
      <c r="BH26" s="70">
        <v>62.339500000000001</v>
      </c>
      <c r="BK26" s="70">
        <v>8.0875000000000004</v>
      </c>
      <c r="BU26" s="72"/>
      <c r="BV26" s="72"/>
      <c r="BW26" s="72"/>
      <c r="BX26" s="72"/>
      <c r="BY26" s="72"/>
      <c r="BZ26" s="72"/>
      <c r="CA26" s="72"/>
      <c r="CB26" s="72"/>
      <c r="CE26" s="69"/>
      <c r="CF26" s="69"/>
      <c r="CG26" s="69"/>
      <c r="CH26" s="69"/>
      <c r="CI26" s="76"/>
      <c r="CJ26" s="76"/>
      <c r="CK26" s="177"/>
      <c r="CL26" s="70"/>
      <c r="CM26" s="76"/>
      <c r="CN26" s="77"/>
      <c r="CO26" s="77"/>
      <c r="CP26" s="77"/>
      <c r="CQ26" s="77"/>
      <c r="CR26" s="77"/>
      <c r="CS26" s="66"/>
      <c r="CT26" s="66"/>
      <c r="CU26" s="66"/>
      <c r="CV26" s="66"/>
      <c r="CW26" s="66"/>
      <c r="CX26" s="66"/>
      <c r="CY26" s="66"/>
      <c r="CZ26" s="66"/>
      <c r="DA26" s="168"/>
      <c r="DB26" s="67"/>
      <c r="DC26" s="69"/>
      <c r="DD26" s="69"/>
      <c r="DE26" s="69"/>
      <c r="DF26" s="69"/>
      <c r="DG26" s="70"/>
      <c r="DH26" s="70"/>
      <c r="DI26" s="70"/>
      <c r="DJ26" s="177"/>
      <c r="DK26" s="177"/>
      <c r="DL26" s="70"/>
      <c r="DM26" s="70"/>
      <c r="DN26" s="71"/>
      <c r="DO26" s="71"/>
      <c r="DP26" s="180"/>
      <c r="DQ26" s="180"/>
      <c r="DR26" s="71"/>
      <c r="DS26" s="180"/>
      <c r="DT26" s="66"/>
      <c r="DU26" s="79"/>
      <c r="DV26" s="79"/>
      <c r="DW26" s="119"/>
      <c r="DX26" s="79"/>
      <c r="DY26" s="136"/>
      <c r="DZ26" s="168"/>
      <c r="EA26" s="74"/>
      <c r="EB26" s="78"/>
      <c r="EC26" s="78"/>
      <c r="ED26" s="78"/>
      <c r="EE26" s="78"/>
      <c r="EF26" s="79"/>
      <c r="EG26" s="66"/>
      <c r="EH26" s="66"/>
      <c r="EI26" s="66"/>
      <c r="EJ26" s="79"/>
      <c r="EK26" s="66"/>
      <c r="EL26" s="66"/>
      <c r="EM26" s="66"/>
      <c r="EN26" s="66"/>
      <c r="EO26" s="66"/>
      <c r="EP26" s="66"/>
    </row>
    <row r="27" spans="1:146" s="85" customFormat="1" hidden="1" x14ac:dyDescent="0.3">
      <c r="A27" s="81">
        <v>44475</v>
      </c>
      <c r="B27" s="81"/>
      <c r="C27" s="69">
        <v>83.214995739846628</v>
      </c>
      <c r="D27" s="69">
        <v>3.5758167806360586</v>
      </c>
      <c r="E27" s="69">
        <v>44.658055472113745</v>
      </c>
      <c r="F27" s="69">
        <f t="shared" si="0"/>
        <v>79.639178959210568</v>
      </c>
      <c r="G27" s="70">
        <v>52.275199999999998</v>
      </c>
      <c r="H27" s="70"/>
      <c r="I27" s="70"/>
      <c r="J27" s="70"/>
      <c r="K27" s="70"/>
      <c r="L27" s="70">
        <v>13.546099999999999</v>
      </c>
      <c r="M27" s="70"/>
      <c r="N27" s="82"/>
      <c r="O27" s="82"/>
      <c r="P27" s="82"/>
      <c r="Q27" s="82"/>
      <c r="R27" s="82"/>
      <c r="S27" s="82"/>
      <c r="T27" s="82"/>
      <c r="U27" s="83"/>
      <c r="V27" s="83"/>
      <c r="W27" s="82"/>
      <c r="X27" s="82"/>
      <c r="Y27" s="82"/>
      <c r="Z27" s="82"/>
      <c r="AA27" s="82"/>
      <c r="AB27" s="82"/>
      <c r="AC27" s="168"/>
      <c r="AD27" s="74">
        <v>6.62</v>
      </c>
      <c r="AE27" s="69"/>
      <c r="AF27" s="69"/>
      <c r="AG27" s="69"/>
      <c r="AH27" s="69">
        <f t="shared" ref="AH27:AH101" si="7">AE27-AF27</f>
        <v>0</v>
      </c>
      <c r="AI27" s="70"/>
      <c r="AJ27" s="70"/>
      <c r="AK27" s="70"/>
      <c r="AL27" s="70"/>
      <c r="AM27" s="70"/>
      <c r="AN27" s="71"/>
      <c r="AO27" s="71"/>
      <c r="AP27" s="71"/>
      <c r="AQ27" s="71"/>
      <c r="AR27" s="71"/>
      <c r="AS27" s="82"/>
      <c r="AT27" s="84"/>
      <c r="AU27" s="84"/>
      <c r="AV27" s="84"/>
      <c r="AW27" s="84"/>
      <c r="AX27" s="82"/>
      <c r="AY27" s="82"/>
      <c r="AZ27" s="82"/>
      <c r="BA27" s="82"/>
      <c r="BB27" s="168"/>
      <c r="BC27" s="74">
        <v>7.67</v>
      </c>
      <c r="BD27" s="69"/>
      <c r="BE27" s="69"/>
      <c r="BF27" s="69"/>
      <c r="BG27" s="69"/>
      <c r="BH27" s="70"/>
      <c r="BI27" s="70"/>
      <c r="BJ27" s="70"/>
      <c r="BK27" s="70"/>
      <c r="BL27" s="70"/>
      <c r="BM27" s="70"/>
      <c r="BN27" s="70"/>
      <c r="BO27" s="71"/>
      <c r="BP27" s="71"/>
      <c r="BQ27" s="71"/>
      <c r="BR27" s="71"/>
      <c r="BS27" s="71"/>
      <c r="BT27" s="71"/>
      <c r="BU27" s="82"/>
      <c r="BV27" s="82"/>
      <c r="BW27" s="82"/>
      <c r="BX27" s="82"/>
      <c r="BY27" s="82"/>
      <c r="BZ27" s="82"/>
      <c r="CA27" s="82"/>
      <c r="CB27" s="82"/>
      <c r="CC27" s="168"/>
      <c r="CD27" s="74"/>
      <c r="CE27" s="69"/>
      <c r="CF27" s="69"/>
      <c r="CG27" s="69"/>
      <c r="CH27" s="69"/>
      <c r="CI27" s="76"/>
      <c r="CJ27" s="76"/>
      <c r="CK27" s="177"/>
      <c r="CL27" s="70"/>
      <c r="CM27" s="76"/>
      <c r="CN27" s="77"/>
      <c r="CO27" s="77"/>
      <c r="CP27" s="77"/>
      <c r="CQ27" s="77"/>
      <c r="CR27" s="77"/>
      <c r="CS27" s="66"/>
      <c r="CT27" s="66"/>
      <c r="CU27" s="66"/>
      <c r="CV27" s="66"/>
      <c r="CW27" s="66"/>
      <c r="CX27" s="66"/>
      <c r="CY27" s="66"/>
      <c r="CZ27" s="66"/>
      <c r="DA27" s="168"/>
      <c r="DB27" s="67"/>
      <c r="DC27" s="69"/>
      <c r="DD27" s="69"/>
      <c r="DE27" s="69"/>
      <c r="DF27" s="69"/>
      <c r="DG27" s="70"/>
      <c r="DH27" s="70"/>
      <c r="DI27" s="70"/>
      <c r="DJ27" s="177"/>
      <c r="DK27" s="177"/>
      <c r="DL27" s="70"/>
      <c r="DM27" s="70"/>
      <c r="DN27" s="71"/>
      <c r="DO27" s="71"/>
      <c r="DP27" s="180"/>
      <c r="DQ27" s="180"/>
      <c r="DR27" s="71"/>
      <c r="DS27" s="180"/>
      <c r="DT27" s="66"/>
      <c r="DU27" s="79"/>
      <c r="DV27" s="79"/>
      <c r="DW27" s="119"/>
      <c r="DX27" s="79"/>
      <c r="DY27" s="136"/>
      <c r="DZ27" s="168"/>
      <c r="EA27" s="74"/>
      <c r="EB27" s="78"/>
      <c r="EC27" s="78"/>
      <c r="ED27" s="78"/>
      <c r="EE27" s="78"/>
      <c r="EF27" s="82"/>
      <c r="EG27" s="137"/>
      <c r="EH27" s="137"/>
      <c r="EI27" s="137"/>
      <c r="EJ27" s="82"/>
      <c r="EK27" s="137"/>
      <c r="EL27" s="137"/>
      <c r="EM27" s="137"/>
      <c r="EN27" s="137"/>
      <c r="EO27" s="137"/>
      <c r="EP27" s="137"/>
    </row>
    <row r="28" spans="1:146" hidden="1" x14ac:dyDescent="0.3">
      <c r="A28" s="86">
        <v>44477</v>
      </c>
      <c r="B28" s="86"/>
      <c r="C28" s="69">
        <v>124.39647827321784</v>
      </c>
      <c r="D28" s="69">
        <v>3.6804515358732233</v>
      </c>
      <c r="E28" s="69">
        <v>33.463502553319316</v>
      </c>
      <c r="F28" s="69">
        <f t="shared" si="0"/>
        <v>120.71602673734462</v>
      </c>
      <c r="G28" s="70">
        <v>48.99</v>
      </c>
      <c r="L28" s="70">
        <v>9.8454999999999995</v>
      </c>
      <c r="T28" s="72"/>
      <c r="U28" s="73"/>
      <c r="V28" s="73"/>
      <c r="W28" s="72"/>
      <c r="X28" s="72"/>
      <c r="Y28" s="72"/>
      <c r="Z28" s="72"/>
      <c r="AA28" s="72"/>
      <c r="AB28" s="72"/>
      <c r="AD28" s="74">
        <v>7.06</v>
      </c>
      <c r="AE28" s="69">
        <v>113.12127236580517</v>
      </c>
      <c r="AF28" s="69">
        <v>19.159882774340605</v>
      </c>
      <c r="AG28" s="69">
        <v>97.246420346450378</v>
      </c>
      <c r="AH28" s="69">
        <f t="shared" si="7"/>
        <v>93.961389591464567</v>
      </c>
      <c r="AI28" s="70">
        <v>61.976999999999997</v>
      </c>
      <c r="AL28" s="70">
        <v>0.1399</v>
      </c>
      <c r="AS28" s="72"/>
      <c r="AT28" s="75"/>
      <c r="AU28" s="75"/>
      <c r="AV28" s="75"/>
      <c r="AW28" s="75"/>
      <c r="AX28" s="72"/>
      <c r="AY28" s="72"/>
      <c r="AZ28" s="72"/>
      <c r="BA28" s="72"/>
      <c r="BC28" s="74">
        <v>7.31</v>
      </c>
      <c r="BD28" s="69">
        <v>120.90315251349048</v>
      </c>
      <c r="BE28" s="69">
        <v>19.854553348529251</v>
      </c>
      <c r="BF28" s="69">
        <v>103.71482927806147</v>
      </c>
      <c r="BG28" s="69">
        <f t="shared" si="1"/>
        <v>101.04859916496123</v>
      </c>
      <c r="BH28" s="70">
        <v>61.504199999999997</v>
      </c>
      <c r="BU28" s="72"/>
      <c r="BV28" s="72"/>
      <c r="BW28" s="72"/>
      <c r="BX28" s="72"/>
      <c r="BY28" s="72"/>
      <c r="BZ28" s="72"/>
      <c r="CA28" s="72"/>
      <c r="CB28" s="72"/>
      <c r="CD28" s="74">
        <v>7.29</v>
      </c>
      <c r="CE28" s="69"/>
      <c r="CF28" s="69"/>
      <c r="CG28" s="69"/>
      <c r="CH28" s="69"/>
      <c r="CI28" s="76"/>
      <c r="CJ28" s="76"/>
      <c r="CK28" s="177"/>
      <c r="CL28" s="70"/>
      <c r="CM28" s="76"/>
      <c r="CN28" s="77"/>
      <c r="CO28" s="77"/>
      <c r="CP28" s="77"/>
      <c r="CQ28" s="77"/>
      <c r="CR28" s="77"/>
      <c r="CS28" s="66"/>
      <c r="CT28" s="66"/>
      <c r="CU28" s="66"/>
      <c r="CV28" s="66"/>
      <c r="CW28" s="66"/>
      <c r="CX28" s="66"/>
      <c r="CY28" s="66"/>
      <c r="CZ28" s="66"/>
      <c r="DA28" s="168"/>
      <c r="DB28" s="67"/>
      <c r="DC28" s="69"/>
      <c r="DD28" s="69"/>
      <c r="DE28" s="69"/>
      <c r="DF28" s="69"/>
      <c r="DG28" s="70"/>
      <c r="DH28" s="70"/>
      <c r="DI28" s="70"/>
      <c r="DJ28" s="177"/>
      <c r="DK28" s="177"/>
      <c r="DL28" s="70"/>
      <c r="DM28" s="70"/>
      <c r="DN28" s="71"/>
      <c r="DO28" s="71"/>
      <c r="DP28" s="180"/>
      <c r="DQ28" s="180"/>
      <c r="DR28" s="71"/>
      <c r="DS28" s="180"/>
      <c r="DT28" s="66"/>
      <c r="DU28" s="79"/>
      <c r="DV28" s="79"/>
      <c r="DW28" s="119"/>
      <c r="DX28" s="79"/>
      <c r="DY28" s="136"/>
      <c r="DZ28" s="168"/>
      <c r="EA28" s="74"/>
      <c r="EB28" s="78">
        <f t="shared" ref="EB28:EB48" si="8">(1-BD28/C28)*100</f>
        <v>2.8082191780821941</v>
      </c>
      <c r="EC28" s="78">
        <f t="shared" ref="EC28:EC48" si="9">(1-BE28/D28)*100</f>
        <v>-439.45971452164667</v>
      </c>
      <c r="ED28" s="78">
        <f t="shared" ref="ED28:ED48" si="10">(1-BF28/E28)*100</f>
        <v>-209.93417115499699</v>
      </c>
      <c r="EE28" s="78">
        <f t="shared" ref="EE28:EE48" si="11">(1-BG28/F28)*100</f>
        <v>16.292308572395285</v>
      </c>
      <c r="EF28" s="79"/>
      <c r="EG28" s="66"/>
      <c r="EH28" s="66"/>
      <c r="EI28" s="66"/>
      <c r="EJ28" s="79"/>
      <c r="EK28" s="66"/>
      <c r="EL28" s="66"/>
      <c r="EM28" s="66"/>
      <c r="EN28" s="66"/>
      <c r="EO28" s="66"/>
      <c r="EP28" s="66"/>
    </row>
    <row r="29" spans="1:146" hidden="1" x14ac:dyDescent="0.3">
      <c r="A29" s="86">
        <v>44480</v>
      </c>
      <c r="B29" s="86"/>
      <c r="C29" s="69">
        <v>75.4331155921613</v>
      </c>
      <c r="D29" s="69">
        <v>4.1775751655269726</v>
      </c>
      <c r="E29" s="69">
        <v>32.470211274657053</v>
      </c>
      <c r="F29" s="69">
        <f t="shared" si="0"/>
        <v>71.255540426634326</v>
      </c>
      <c r="G29" s="70">
        <v>61.188699999999997</v>
      </c>
      <c r="L29" s="70">
        <v>18.246200000000002</v>
      </c>
      <c r="T29" s="72"/>
      <c r="U29" s="73"/>
      <c r="V29" s="73"/>
      <c r="W29" s="72"/>
      <c r="X29" s="72"/>
      <c r="Y29" s="72"/>
      <c r="Z29" s="72"/>
      <c r="AA29" s="72"/>
      <c r="AB29" s="72"/>
      <c r="AD29" s="74">
        <v>6.53</v>
      </c>
      <c r="AE29" s="69">
        <v>88.952002272081799</v>
      </c>
      <c r="AF29" s="69">
        <v>18.504287419950074</v>
      </c>
      <c r="AG29" s="69">
        <v>67.788124561930502</v>
      </c>
      <c r="AH29" s="69">
        <f t="shared" si="7"/>
        <v>70.447714852131725</v>
      </c>
      <c r="AI29" s="70">
        <v>55.234999999999999</v>
      </c>
      <c r="AL29" s="70">
        <v>1.3139000000000001</v>
      </c>
      <c r="AS29" s="72"/>
      <c r="AT29" s="75"/>
      <c r="AU29" s="75"/>
      <c r="AV29" s="75"/>
      <c r="AW29" s="75"/>
      <c r="AX29" s="72"/>
      <c r="AY29" s="72"/>
      <c r="AZ29" s="72"/>
      <c r="BA29" s="72"/>
      <c r="BC29" s="74">
        <v>6.89</v>
      </c>
      <c r="BD29" s="69">
        <v>97.557512070434527</v>
      </c>
      <c r="BE29" s="69">
        <v>18.953652447628354</v>
      </c>
      <c r="BF29" s="69">
        <v>85.270852107740055</v>
      </c>
      <c r="BG29" s="69">
        <f t="shared" si="1"/>
        <v>78.603859622806169</v>
      </c>
      <c r="BH29" s="70">
        <v>54.464599999999997</v>
      </c>
      <c r="BM29" s="70">
        <v>2.0762999999999998</v>
      </c>
      <c r="BU29" s="72"/>
      <c r="BV29" s="72"/>
      <c r="BW29" s="72"/>
      <c r="BX29" s="72"/>
      <c r="BY29" s="72"/>
      <c r="BZ29" s="72"/>
      <c r="CA29" s="72"/>
      <c r="CB29" s="72"/>
      <c r="CD29" s="74">
        <v>6.81</v>
      </c>
      <c r="CE29" s="69"/>
      <c r="CF29" s="69"/>
      <c r="CG29" s="69"/>
      <c r="CH29" s="69"/>
      <c r="CI29" s="76"/>
      <c r="CJ29" s="76"/>
      <c r="CK29" s="177"/>
      <c r="CL29" s="70"/>
      <c r="CM29" s="76"/>
      <c r="CN29" s="77"/>
      <c r="CO29" s="77"/>
      <c r="CP29" s="77"/>
      <c r="CQ29" s="77"/>
      <c r="CR29" s="77"/>
      <c r="CS29" s="66"/>
      <c r="CT29" s="66"/>
      <c r="CU29" s="66"/>
      <c r="CV29" s="66"/>
      <c r="CW29" s="66"/>
      <c r="CX29" s="66"/>
      <c r="CY29" s="66"/>
      <c r="CZ29" s="66"/>
      <c r="DA29" s="168"/>
      <c r="DB29" s="67"/>
      <c r="DC29" s="69"/>
      <c r="DD29" s="69"/>
      <c r="DE29" s="69"/>
      <c r="DF29" s="69"/>
      <c r="DG29" s="70"/>
      <c r="DH29" s="70"/>
      <c r="DI29" s="70"/>
      <c r="DJ29" s="177"/>
      <c r="DK29" s="177"/>
      <c r="DL29" s="70"/>
      <c r="DM29" s="70"/>
      <c r="DN29" s="71"/>
      <c r="DO29" s="71"/>
      <c r="DP29" s="180"/>
      <c r="DQ29" s="180"/>
      <c r="DR29" s="71"/>
      <c r="DS29" s="180"/>
      <c r="DT29" s="66"/>
      <c r="DU29" s="79"/>
      <c r="DV29" s="79"/>
      <c r="DW29" s="119"/>
      <c r="DX29" s="79"/>
      <c r="DY29" s="136"/>
      <c r="DZ29" s="168"/>
      <c r="EA29" s="74"/>
      <c r="EB29" s="78">
        <f t="shared" si="8"/>
        <v>-29.329819277108449</v>
      </c>
      <c r="EC29" s="78">
        <f t="shared" si="9"/>
        <v>-353.69985450010404</v>
      </c>
      <c r="ED29" s="78">
        <f t="shared" si="10"/>
        <v>-162.61255704946342</v>
      </c>
      <c r="EE29" s="78">
        <f t="shared" si="11"/>
        <v>-10.312628536917456</v>
      </c>
      <c r="EF29" s="79"/>
      <c r="EG29" s="66"/>
      <c r="EH29" s="66"/>
      <c r="EI29" s="66"/>
      <c r="EJ29" s="79"/>
      <c r="EK29" s="66"/>
      <c r="EL29" s="66"/>
      <c r="EM29" s="66"/>
      <c r="EN29" s="66"/>
      <c r="EO29" s="66"/>
      <c r="EP29" s="66"/>
    </row>
    <row r="30" spans="1:146" hidden="1" x14ac:dyDescent="0.3">
      <c r="A30" s="86">
        <v>44481</v>
      </c>
      <c r="B30" s="86"/>
      <c r="C30" s="69">
        <v>75.376313547287694</v>
      </c>
      <c r="D30" s="69">
        <v>4.2275046130467819</v>
      </c>
      <c r="E30" s="69">
        <v>31.765294883348353</v>
      </c>
      <c r="F30" s="69">
        <f t="shared" si="0"/>
        <v>71.148808934240918</v>
      </c>
      <c r="G30" s="70">
        <v>50.263800000000003</v>
      </c>
      <c r="L30" s="70">
        <v>18.180900000000001</v>
      </c>
      <c r="T30" s="72"/>
      <c r="U30" s="73"/>
      <c r="V30" s="73"/>
      <c r="W30" s="72"/>
      <c r="X30" s="72"/>
      <c r="Y30" s="72"/>
      <c r="Z30" s="72"/>
      <c r="AA30" s="72"/>
      <c r="AB30" s="72"/>
      <c r="AD30" s="74">
        <v>6.51</v>
      </c>
      <c r="AE30" s="69">
        <v>91.025276909968753</v>
      </c>
      <c r="AF30" s="69">
        <v>19.088244871377402</v>
      </c>
      <c r="AG30" s="69">
        <v>65.104636026834868</v>
      </c>
      <c r="AH30" s="69">
        <f t="shared" si="7"/>
        <v>71.937032038591354</v>
      </c>
      <c r="AI30" s="70">
        <v>55.423299999999998</v>
      </c>
      <c r="AL30" s="70">
        <v>1.7521</v>
      </c>
      <c r="AS30" s="72"/>
      <c r="AT30" s="75"/>
      <c r="AU30" s="75"/>
      <c r="AV30" s="75"/>
      <c r="AW30" s="75"/>
      <c r="AX30" s="72"/>
      <c r="AY30" s="72"/>
      <c r="AZ30" s="72"/>
      <c r="BA30" s="72"/>
      <c r="BC30" s="74">
        <v>6.84</v>
      </c>
      <c r="BD30" s="69">
        <v>92.672536211303608</v>
      </c>
      <c r="BE30" s="69">
        <v>17.670682730923694</v>
      </c>
      <c r="BF30" s="69">
        <v>70.792029638530082</v>
      </c>
      <c r="BG30" s="69">
        <f t="shared" si="1"/>
        <v>75.001853480379907</v>
      </c>
      <c r="BH30" s="70">
        <v>54.214500000000001</v>
      </c>
      <c r="BM30" s="70">
        <v>1.8302</v>
      </c>
      <c r="BU30" s="72"/>
      <c r="BV30" s="72"/>
      <c r="BW30" s="72"/>
      <c r="BX30" s="72"/>
      <c r="BY30" s="72"/>
      <c r="BZ30" s="72"/>
      <c r="CA30" s="72"/>
      <c r="CB30" s="72"/>
      <c r="CD30" s="74">
        <v>6.77</v>
      </c>
      <c r="CE30" s="69"/>
      <c r="CF30" s="69"/>
      <c r="CG30" s="69"/>
      <c r="CH30" s="69"/>
      <c r="CI30" s="76"/>
      <c r="CJ30" s="76"/>
      <c r="CK30" s="177"/>
      <c r="CL30" s="70"/>
      <c r="CM30" s="76"/>
      <c r="CN30" s="77"/>
      <c r="CO30" s="77"/>
      <c r="CP30" s="77"/>
      <c r="CQ30" s="77"/>
      <c r="CR30" s="77"/>
      <c r="CS30" s="66"/>
      <c r="CT30" s="66"/>
      <c r="CU30" s="66"/>
      <c r="CV30" s="66"/>
      <c r="CW30" s="66"/>
      <c r="CX30" s="66"/>
      <c r="CY30" s="66"/>
      <c r="CZ30" s="66"/>
      <c r="DA30" s="168"/>
      <c r="DB30" s="67"/>
      <c r="DC30" s="69"/>
      <c r="DD30" s="69"/>
      <c r="DE30" s="69"/>
      <c r="DF30" s="69"/>
      <c r="DG30" s="70"/>
      <c r="DH30" s="70"/>
      <c r="DI30" s="70"/>
      <c r="DJ30" s="177"/>
      <c r="DK30" s="177"/>
      <c r="DL30" s="70"/>
      <c r="DM30" s="70"/>
      <c r="DN30" s="71"/>
      <c r="DO30" s="71"/>
      <c r="DP30" s="180"/>
      <c r="DQ30" s="180"/>
      <c r="DR30" s="71"/>
      <c r="DS30" s="180"/>
      <c r="DT30" s="66"/>
      <c r="DU30" s="79"/>
      <c r="DV30" s="79"/>
      <c r="DW30" s="119"/>
      <c r="DX30" s="79"/>
      <c r="DY30" s="136"/>
      <c r="DZ30" s="168"/>
      <c r="EA30" s="74"/>
      <c r="EB30" s="78">
        <f t="shared" si="8"/>
        <v>-22.946495855312744</v>
      </c>
      <c r="EC30" s="78">
        <f t="shared" si="9"/>
        <v>-317.99322173153939</v>
      </c>
      <c r="ED30" s="78">
        <f t="shared" si="10"/>
        <v>-122.85966460723739</v>
      </c>
      <c r="EE30" s="78">
        <f t="shared" si="11"/>
        <v>-5.4154730119237104</v>
      </c>
      <c r="EF30" s="79"/>
      <c r="EG30" s="66"/>
      <c r="EH30" s="66"/>
      <c r="EI30" s="66"/>
      <c r="EJ30" s="79"/>
      <c r="EK30" s="66"/>
      <c r="EL30" s="66"/>
      <c r="EM30" s="66"/>
      <c r="EN30" s="66"/>
      <c r="EO30" s="66"/>
      <c r="EP30" s="66"/>
    </row>
    <row r="31" spans="1:146" hidden="1" x14ac:dyDescent="0.3">
      <c r="A31" s="86">
        <v>44482</v>
      </c>
      <c r="B31" s="86"/>
      <c r="C31" s="69">
        <v>54.990059642147109</v>
      </c>
      <c r="D31" s="69">
        <v>4.5804840985563873</v>
      </c>
      <c r="E31" s="69">
        <v>34.048262741564031</v>
      </c>
      <c r="F31" s="69">
        <f t="shared" si="0"/>
        <v>50.409575543590719</v>
      </c>
      <c r="G31" s="70">
        <v>56.225499999999997</v>
      </c>
      <c r="L31" s="70">
        <v>18.4131</v>
      </c>
      <c r="T31" s="72"/>
      <c r="U31" s="73"/>
      <c r="V31" s="73"/>
      <c r="W31" s="72"/>
      <c r="X31" s="72"/>
      <c r="Y31" s="72"/>
      <c r="Z31" s="72"/>
      <c r="AA31" s="72"/>
      <c r="AB31" s="72"/>
      <c r="AD31" s="74">
        <v>7.34</v>
      </c>
      <c r="AE31" s="87">
        <v>94.34819653507526</v>
      </c>
      <c r="AF31" s="87">
        <v>18.059264083360468</v>
      </c>
      <c r="AG31" s="87">
        <v>63.742865725443068</v>
      </c>
      <c r="AH31" s="87">
        <f t="shared" si="7"/>
        <v>76.2889324517148</v>
      </c>
      <c r="AI31" s="70">
        <v>53.163600000000002</v>
      </c>
      <c r="AL31" s="70">
        <v>3.0920000000000001</v>
      </c>
      <c r="AS31" s="72"/>
      <c r="AT31" s="75"/>
      <c r="AU31" s="75"/>
      <c r="AV31" s="75"/>
      <c r="AW31" s="75"/>
      <c r="AX31" s="72"/>
      <c r="AY31" s="72"/>
      <c r="AZ31" s="72"/>
      <c r="BA31" s="72"/>
      <c r="BC31" s="74">
        <v>6.76</v>
      </c>
      <c r="BD31" s="69">
        <v>80.261289406418626</v>
      </c>
      <c r="BE31" s="69">
        <v>17.974601107131228</v>
      </c>
      <c r="BF31" s="69">
        <v>60.138179633523578</v>
      </c>
      <c r="BG31" s="69">
        <f t="shared" si="1"/>
        <v>62.286688299287398</v>
      </c>
      <c r="BH31" s="70">
        <v>55.290999999999997</v>
      </c>
      <c r="BM31" s="70">
        <v>9.0558999999999994</v>
      </c>
      <c r="BU31" s="72"/>
      <c r="BV31" s="72"/>
      <c r="BW31" s="72"/>
      <c r="BX31" s="72"/>
      <c r="BY31" s="72"/>
      <c r="BZ31" s="72"/>
      <c r="CA31" s="72"/>
      <c r="CB31" s="72"/>
      <c r="CD31" s="74">
        <v>6.63</v>
      </c>
      <c r="CE31" s="69"/>
      <c r="CF31" s="69"/>
      <c r="CG31" s="69"/>
      <c r="CH31" s="69"/>
      <c r="CI31" s="76"/>
      <c r="CJ31" s="76"/>
      <c r="CK31" s="177"/>
      <c r="CL31" s="70"/>
      <c r="CM31" s="76"/>
      <c r="CN31" s="77"/>
      <c r="CO31" s="77"/>
      <c r="CP31" s="77"/>
      <c r="CQ31" s="77"/>
      <c r="CR31" s="77"/>
      <c r="CS31" s="66"/>
      <c r="CT31" s="66"/>
      <c r="CU31" s="66"/>
      <c r="CV31" s="66"/>
      <c r="CW31" s="66"/>
      <c r="CX31" s="66"/>
      <c r="CY31" s="66"/>
      <c r="CZ31" s="66"/>
      <c r="DA31" s="168"/>
      <c r="DB31" s="67"/>
      <c r="DC31" s="69"/>
      <c r="DD31" s="69"/>
      <c r="DE31" s="69"/>
      <c r="DF31" s="69"/>
      <c r="DG31" s="70"/>
      <c r="DH31" s="70"/>
      <c r="DI31" s="70"/>
      <c r="DJ31" s="177"/>
      <c r="DK31" s="177"/>
      <c r="DL31" s="70"/>
      <c r="DM31" s="70"/>
      <c r="DN31" s="71"/>
      <c r="DO31" s="71"/>
      <c r="DP31" s="180"/>
      <c r="DQ31" s="180"/>
      <c r="DR31" s="71"/>
      <c r="DS31" s="180"/>
      <c r="DT31" s="66"/>
      <c r="DU31" s="79"/>
      <c r="DV31" s="79"/>
      <c r="DW31" s="119"/>
      <c r="DX31" s="79"/>
      <c r="DY31" s="136"/>
      <c r="DZ31" s="168"/>
      <c r="EA31" s="74"/>
      <c r="EB31" s="78">
        <f t="shared" si="8"/>
        <v>-45.955996281375903</v>
      </c>
      <c r="EC31" s="78">
        <f t="shared" si="9"/>
        <v>-292.41706161137444</v>
      </c>
      <c r="ED31" s="78">
        <f t="shared" si="10"/>
        <v>-76.626279261263377</v>
      </c>
      <c r="EE31" s="78">
        <f t="shared" si="11"/>
        <v>-23.561223492997229</v>
      </c>
      <c r="EF31" s="79"/>
      <c r="EG31" s="66"/>
      <c r="EH31" s="66"/>
      <c r="EI31" s="66"/>
      <c r="EJ31" s="79"/>
      <c r="EK31" s="66"/>
      <c r="EL31" s="66"/>
      <c r="EM31" s="66"/>
      <c r="EN31" s="66"/>
      <c r="EO31" s="66"/>
      <c r="EP31" s="66"/>
    </row>
    <row r="32" spans="1:146" hidden="1" x14ac:dyDescent="0.3">
      <c r="A32" s="86">
        <v>44487</v>
      </c>
      <c r="B32" s="86"/>
      <c r="C32" s="69">
        <v>69.071286566316388</v>
      </c>
      <c r="D32" s="69">
        <v>45.066753500488446</v>
      </c>
      <c r="E32" s="69">
        <v>19.917893261239609</v>
      </c>
      <c r="F32" s="69">
        <f t="shared" si="0"/>
        <v>24.004533065827943</v>
      </c>
      <c r="G32" s="70">
        <v>44.264800000000001</v>
      </c>
      <c r="L32" s="70">
        <v>9.2371999999999996</v>
      </c>
      <c r="T32" s="72"/>
      <c r="U32" s="73"/>
      <c r="V32" s="73"/>
      <c r="W32" s="72"/>
      <c r="X32" s="72"/>
      <c r="Y32" s="72"/>
      <c r="Z32" s="72"/>
      <c r="AA32" s="72"/>
      <c r="AB32" s="72"/>
      <c r="AE32" s="87">
        <v>69.838114172110195</v>
      </c>
      <c r="AF32" s="87">
        <v>103.72300010854228</v>
      </c>
      <c r="AG32" s="87">
        <v>49.244017222389104</v>
      </c>
      <c r="AH32" s="87">
        <f t="shared" si="7"/>
        <v>-33.884885936432084</v>
      </c>
      <c r="AI32" s="70">
        <v>53.598999999999997</v>
      </c>
      <c r="AS32" s="72"/>
      <c r="AT32" s="75"/>
      <c r="AU32" s="75"/>
      <c r="AV32" s="75"/>
      <c r="AW32" s="75"/>
      <c r="AX32" s="72"/>
      <c r="AY32" s="72"/>
      <c r="AZ32" s="72"/>
      <c r="BA32" s="72"/>
      <c r="BD32" s="69">
        <v>75.347912524850898</v>
      </c>
      <c r="BE32" s="69">
        <v>112.55834147400412</v>
      </c>
      <c r="BF32" s="69">
        <v>49.163913087013114</v>
      </c>
      <c r="BG32" s="69">
        <f>BD32-BE32</f>
        <v>-37.210428949153226</v>
      </c>
      <c r="BH32" s="70">
        <v>53.551600000000001</v>
      </c>
      <c r="BM32" s="70">
        <v>0.1399</v>
      </c>
      <c r="BU32" s="72"/>
      <c r="BV32" s="72"/>
      <c r="BW32" s="72"/>
      <c r="BX32" s="72"/>
      <c r="BY32" s="72"/>
      <c r="BZ32" s="72"/>
      <c r="CA32" s="72"/>
      <c r="CB32" s="72"/>
      <c r="CE32" s="69"/>
      <c r="CF32" s="69"/>
      <c r="CG32" s="69"/>
      <c r="CH32" s="69"/>
      <c r="CI32" s="76"/>
      <c r="CJ32" s="76"/>
      <c r="CK32" s="177"/>
      <c r="CL32" s="70"/>
      <c r="CM32" s="76"/>
      <c r="CN32" s="77"/>
      <c r="CO32" s="77"/>
      <c r="CP32" s="77"/>
      <c r="CQ32" s="77"/>
      <c r="CR32" s="77"/>
      <c r="CS32" s="66"/>
      <c r="CT32" s="66"/>
      <c r="CU32" s="66"/>
      <c r="CV32" s="66"/>
      <c r="CW32" s="66"/>
      <c r="CX32" s="66"/>
      <c r="CY32" s="66"/>
      <c r="CZ32" s="66"/>
      <c r="DA32" s="168"/>
      <c r="DB32" s="67"/>
      <c r="DC32" s="69"/>
      <c r="DD32" s="69"/>
      <c r="DE32" s="69"/>
      <c r="DF32" s="69"/>
      <c r="DG32" s="70"/>
      <c r="DH32" s="70"/>
      <c r="DI32" s="70"/>
      <c r="DJ32" s="177"/>
      <c r="DK32" s="177"/>
      <c r="DL32" s="70"/>
      <c r="DM32" s="70"/>
      <c r="DN32" s="71"/>
      <c r="DO32" s="71"/>
      <c r="DP32" s="180"/>
      <c r="DQ32" s="180"/>
      <c r="DR32" s="71"/>
      <c r="DS32" s="180"/>
      <c r="DT32" s="66"/>
      <c r="DU32" s="79"/>
      <c r="DV32" s="79"/>
      <c r="DW32" s="119"/>
      <c r="DX32" s="79"/>
      <c r="DY32" s="136"/>
      <c r="DZ32" s="168"/>
      <c r="EA32" s="74"/>
      <c r="EB32" s="78">
        <f t="shared" si="8"/>
        <v>-9.087171052631593</v>
      </c>
      <c r="EC32" s="78">
        <f t="shared" si="9"/>
        <v>-149.75915221579959</v>
      </c>
      <c r="ED32" s="78">
        <f t="shared" si="10"/>
        <v>-146.83289764729543</v>
      </c>
      <c r="EE32" s="78">
        <f t="shared" si="11"/>
        <v>255.01417522728138</v>
      </c>
      <c r="EF32" s="79"/>
      <c r="EG32" s="66"/>
      <c r="EH32" s="66"/>
      <c r="EI32" s="66"/>
      <c r="EJ32" s="79"/>
      <c r="EK32" s="66"/>
      <c r="EL32" s="66"/>
      <c r="EM32" s="66"/>
      <c r="EN32" s="66"/>
      <c r="EO32" s="66"/>
      <c r="EP32" s="66"/>
    </row>
    <row r="33" spans="1:146" hidden="1" x14ac:dyDescent="0.3">
      <c r="A33" s="86">
        <v>44501</v>
      </c>
      <c r="B33" s="86"/>
      <c r="C33" s="69">
        <v>103.94</v>
      </c>
      <c r="D33" s="69">
        <v>55.01</v>
      </c>
      <c r="E33" s="69">
        <v>23.69</v>
      </c>
      <c r="F33" s="69">
        <f t="shared" si="0"/>
        <v>48.93</v>
      </c>
      <c r="G33" s="70">
        <v>65.037599999999998</v>
      </c>
      <c r="J33" s="70">
        <v>0.4743</v>
      </c>
      <c r="L33" s="70">
        <v>21.238800000000001</v>
      </c>
      <c r="M33" s="70">
        <v>1.3455999999999999</v>
      </c>
      <c r="N33" s="71">
        <v>106.54989999999999</v>
      </c>
      <c r="P33" s="71">
        <v>52.838200000000001</v>
      </c>
      <c r="Q33" s="71">
        <v>24.776900000000001</v>
      </c>
      <c r="R33" s="71">
        <v>5.6550000000000002</v>
      </c>
      <c r="S33" s="71">
        <v>28.266200000000001</v>
      </c>
      <c r="T33" s="72"/>
      <c r="U33" s="73"/>
      <c r="V33" s="73"/>
      <c r="W33" s="72"/>
      <c r="X33" s="72"/>
      <c r="Y33" s="72"/>
      <c r="Z33" s="72"/>
      <c r="AA33" s="72"/>
      <c r="AB33" s="72"/>
      <c r="AE33" s="87">
        <v>122.45</v>
      </c>
      <c r="AF33" s="87">
        <v>111.85</v>
      </c>
      <c r="AG33" s="87">
        <v>56.74</v>
      </c>
      <c r="AH33" s="87">
        <f t="shared" si="7"/>
        <v>10.600000000000009</v>
      </c>
      <c r="AI33" s="70">
        <v>58.9221</v>
      </c>
      <c r="AK33" s="70">
        <v>1.18E-2</v>
      </c>
      <c r="AL33" s="70">
        <v>7.1083999999999996</v>
      </c>
      <c r="AM33" s="70">
        <v>5.5805999999999996</v>
      </c>
      <c r="AN33" s="71">
        <v>149.0812</v>
      </c>
      <c r="AO33" s="71">
        <v>50.847799999999999</v>
      </c>
      <c r="AP33" s="71">
        <v>30.8172</v>
      </c>
      <c r="AQ33" s="71">
        <v>5.8498999999999999</v>
      </c>
      <c r="AR33" s="71">
        <v>32.822000000000003</v>
      </c>
      <c r="AS33" s="72"/>
      <c r="AT33" s="75"/>
      <c r="AU33" s="75"/>
      <c r="AV33" s="75"/>
      <c r="AW33" s="75"/>
      <c r="AX33" s="72"/>
      <c r="AY33" s="72"/>
      <c r="AZ33" s="72"/>
      <c r="BA33" s="72"/>
      <c r="BD33" s="69">
        <v>115.33</v>
      </c>
      <c r="BE33" s="69">
        <v>119.27</v>
      </c>
      <c r="BF33" s="69">
        <v>55.83</v>
      </c>
      <c r="BG33" s="69">
        <f t="shared" ref="BG33:BG35" si="12">BD33-BE33</f>
        <v>-3.9399999999999977</v>
      </c>
      <c r="BH33" s="70">
        <v>58.734000000000002</v>
      </c>
      <c r="BK33" s="70">
        <v>6.1699999999999998E-2</v>
      </c>
      <c r="BM33" s="70">
        <v>11.366300000000001</v>
      </c>
      <c r="BN33" s="70">
        <v>4.0201000000000002</v>
      </c>
      <c r="BO33" s="71">
        <v>146.3509</v>
      </c>
      <c r="BQ33" s="71">
        <v>50.552</v>
      </c>
      <c r="BR33" s="71">
        <v>29.662199999999999</v>
      </c>
      <c r="BS33" s="71">
        <v>5.8304999999999998</v>
      </c>
      <c r="BT33" s="71">
        <v>33.222499999999997</v>
      </c>
      <c r="BU33" s="72"/>
      <c r="BV33" s="72"/>
      <c r="BW33" s="72"/>
      <c r="BX33" s="72"/>
      <c r="BY33" s="72"/>
      <c r="BZ33" s="72"/>
      <c r="CA33" s="72"/>
      <c r="CB33" s="72"/>
      <c r="CE33" s="69"/>
      <c r="CF33" s="69"/>
      <c r="CG33" s="69"/>
      <c r="CH33" s="69"/>
      <c r="CI33" s="76"/>
      <c r="CJ33" s="76"/>
      <c r="CK33" s="177"/>
      <c r="CL33" s="70"/>
      <c r="CM33" s="76"/>
      <c r="CN33" s="77"/>
      <c r="CO33" s="77"/>
      <c r="CP33" s="77"/>
      <c r="CQ33" s="77"/>
      <c r="CR33" s="77"/>
      <c r="CS33" s="66"/>
      <c r="CT33" s="66"/>
      <c r="CU33" s="66"/>
      <c r="CV33" s="66"/>
      <c r="CW33" s="66"/>
      <c r="CX33" s="66"/>
      <c r="CY33" s="66"/>
      <c r="CZ33" s="66"/>
      <c r="DA33" s="168"/>
      <c r="DB33" s="67"/>
      <c r="DC33" s="69"/>
      <c r="DD33" s="69"/>
      <c r="DE33" s="69"/>
      <c r="DF33" s="69"/>
      <c r="DG33" s="70"/>
      <c r="DH33" s="70"/>
      <c r="DI33" s="70"/>
      <c r="DJ33" s="177"/>
      <c r="DK33" s="177"/>
      <c r="DL33" s="70"/>
      <c r="DM33" s="70"/>
      <c r="DN33" s="71"/>
      <c r="DO33" s="71"/>
      <c r="DP33" s="180"/>
      <c r="DQ33" s="180"/>
      <c r="DR33" s="71"/>
      <c r="DS33" s="180"/>
      <c r="DT33" s="66"/>
      <c r="DU33" s="79"/>
      <c r="DV33" s="79"/>
      <c r="DW33" s="119"/>
      <c r="DX33" s="79"/>
      <c r="DY33" s="136"/>
      <c r="DZ33" s="168"/>
      <c r="EA33" s="74"/>
      <c r="EB33" s="78">
        <f t="shared" si="8"/>
        <v>-10.958245141427758</v>
      </c>
      <c r="EC33" s="78">
        <f t="shared" si="9"/>
        <v>-116.81512452281405</v>
      </c>
      <c r="ED33" s="78">
        <f t="shared" si="10"/>
        <v>-135.66905867454619</v>
      </c>
      <c r="EE33" s="78">
        <f t="shared" si="11"/>
        <v>108.05231964030246</v>
      </c>
      <c r="EF33" s="79"/>
      <c r="EG33" s="66"/>
      <c r="EH33" s="66"/>
      <c r="EI33" s="66"/>
      <c r="EJ33" s="79"/>
      <c r="EK33" s="66"/>
      <c r="EL33" s="66"/>
      <c r="EM33" s="66"/>
      <c r="EN33" s="66"/>
      <c r="EO33" s="66"/>
      <c r="EP33" s="66"/>
    </row>
    <row r="34" spans="1:146" hidden="1" x14ac:dyDescent="0.3">
      <c r="A34" s="86">
        <v>44502</v>
      </c>
      <c r="B34" s="86"/>
      <c r="C34" s="69">
        <v>128.91</v>
      </c>
      <c r="D34" s="69">
        <v>48.2</v>
      </c>
      <c r="E34" s="69">
        <v>18.45</v>
      </c>
      <c r="F34" s="69">
        <f t="shared" si="0"/>
        <v>80.709999999999994</v>
      </c>
      <c r="G34" s="70">
        <v>57.135899999999999</v>
      </c>
      <c r="J34" s="70">
        <v>3.4500000000000003E-2</v>
      </c>
      <c r="L34" s="70">
        <v>15.4666</v>
      </c>
      <c r="M34" s="70">
        <v>1.6469</v>
      </c>
      <c r="N34" s="71">
        <v>77.789699999999996</v>
      </c>
      <c r="P34" s="71">
        <v>47.249299999999998</v>
      </c>
      <c r="Q34" s="71">
        <v>20.3812</v>
      </c>
      <c r="R34" s="71">
        <v>5.3632</v>
      </c>
      <c r="S34" s="71">
        <v>29.520499999999998</v>
      </c>
      <c r="T34" s="72"/>
      <c r="U34" s="73"/>
      <c r="V34" s="73"/>
      <c r="W34" s="72"/>
      <c r="X34" s="72"/>
      <c r="Y34" s="72"/>
      <c r="Z34" s="72"/>
      <c r="AA34" s="72"/>
      <c r="AB34" s="72"/>
      <c r="AE34" s="87">
        <v>126.92</v>
      </c>
      <c r="AF34" s="87">
        <v>78.010000000000005</v>
      </c>
      <c r="AG34" s="87">
        <v>45.98</v>
      </c>
      <c r="AH34" s="87">
        <f t="shared" si="7"/>
        <v>48.91</v>
      </c>
      <c r="AI34" s="70">
        <v>63.171399999999998</v>
      </c>
      <c r="AK34" s="70">
        <v>2.23E-2</v>
      </c>
      <c r="AL34" s="70">
        <v>13.8919</v>
      </c>
      <c r="AM34" s="70">
        <v>1.1739999999999999</v>
      </c>
      <c r="AN34" s="71">
        <v>106.76779999999999</v>
      </c>
      <c r="AO34" s="71">
        <v>52.599499999999999</v>
      </c>
      <c r="AP34" s="71">
        <v>24.616499999999998</v>
      </c>
      <c r="AQ34" s="71">
        <v>5.2714999999999996</v>
      </c>
      <c r="AR34" s="71">
        <v>29.479299999999999</v>
      </c>
      <c r="AS34" s="72"/>
      <c r="AT34" s="75"/>
      <c r="AU34" s="75"/>
      <c r="AV34" s="75"/>
      <c r="AW34" s="75"/>
      <c r="AX34" s="72"/>
      <c r="AY34" s="72"/>
      <c r="AZ34" s="72"/>
      <c r="BA34" s="72"/>
      <c r="BD34" s="69">
        <v>124.21</v>
      </c>
      <c r="BE34" s="69">
        <v>82.75</v>
      </c>
      <c r="BF34" s="69">
        <v>49.95</v>
      </c>
      <c r="BG34" s="69">
        <f t="shared" si="12"/>
        <v>41.459999999999994</v>
      </c>
      <c r="BH34" s="70">
        <v>62.960700000000003</v>
      </c>
      <c r="BM34" s="70">
        <v>13.6267</v>
      </c>
      <c r="BN34" s="70">
        <v>1.1701999999999999</v>
      </c>
      <c r="BO34" s="71">
        <v>108.9378</v>
      </c>
      <c r="BQ34" s="71">
        <v>52.428699999999999</v>
      </c>
      <c r="BR34" s="71">
        <v>24.4392</v>
      </c>
      <c r="BS34" s="71">
        <v>5.2743000000000002</v>
      </c>
      <c r="BT34" s="71">
        <v>29.579899999999999</v>
      </c>
      <c r="BU34" s="72"/>
      <c r="BV34" s="72"/>
      <c r="BW34" s="72"/>
      <c r="BX34" s="72"/>
      <c r="BY34" s="72"/>
      <c r="BZ34" s="72"/>
      <c r="CA34" s="72"/>
      <c r="CB34" s="72"/>
      <c r="CE34" s="69"/>
      <c r="CF34" s="69"/>
      <c r="CG34" s="69"/>
      <c r="CH34" s="69"/>
      <c r="CI34" s="76"/>
      <c r="CJ34" s="76"/>
      <c r="CK34" s="177"/>
      <c r="CL34" s="70"/>
      <c r="CM34" s="76"/>
      <c r="CN34" s="77"/>
      <c r="CO34" s="77"/>
      <c r="CP34" s="77"/>
      <c r="CQ34" s="77"/>
      <c r="CR34" s="77"/>
      <c r="CS34" s="66"/>
      <c r="CT34" s="66"/>
      <c r="CU34" s="66"/>
      <c r="CV34" s="66"/>
      <c r="CW34" s="66"/>
      <c r="CX34" s="66"/>
      <c r="CY34" s="66"/>
      <c r="CZ34" s="66"/>
      <c r="DA34" s="168"/>
      <c r="DB34" s="67"/>
      <c r="DC34" s="69"/>
      <c r="DD34" s="69"/>
      <c r="DE34" s="69"/>
      <c r="DF34" s="69"/>
      <c r="DG34" s="70"/>
      <c r="DH34" s="70"/>
      <c r="DI34" s="70"/>
      <c r="DJ34" s="177"/>
      <c r="DK34" s="177"/>
      <c r="DL34" s="70"/>
      <c r="DM34" s="70"/>
      <c r="DN34" s="71"/>
      <c r="DO34" s="71"/>
      <c r="DP34" s="180"/>
      <c r="DQ34" s="180"/>
      <c r="DR34" s="71"/>
      <c r="DS34" s="180"/>
      <c r="DT34" s="66"/>
      <c r="DU34" s="79"/>
      <c r="DV34" s="79"/>
      <c r="DW34" s="119"/>
      <c r="DX34" s="79"/>
      <c r="DY34" s="136"/>
      <c r="DZ34" s="168"/>
      <c r="EA34" s="74"/>
      <c r="EB34" s="78">
        <f t="shared" si="8"/>
        <v>3.6459545419284756</v>
      </c>
      <c r="EC34" s="78">
        <f t="shared" si="9"/>
        <v>-71.680497925311187</v>
      </c>
      <c r="ED34" s="78">
        <f t="shared" si="10"/>
        <v>-170.73170731707319</v>
      </c>
      <c r="EE34" s="78">
        <f t="shared" si="11"/>
        <v>48.630900755792354</v>
      </c>
      <c r="EF34" s="79"/>
      <c r="EG34" s="66"/>
      <c r="EH34" s="66"/>
      <c r="EI34" s="66"/>
      <c r="EJ34" s="79"/>
      <c r="EK34" s="66"/>
      <c r="EL34" s="66"/>
      <c r="EM34" s="66"/>
      <c r="EN34" s="66"/>
      <c r="EO34" s="66"/>
      <c r="EP34" s="66"/>
    </row>
    <row r="35" spans="1:146" hidden="1" x14ac:dyDescent="0.3">
      <c r="A35" s="86">
        <v>44516</v>
      </c>
      <c r="B35" s="86"/>
      <c r="C35" s="69">
        <v>115.67594682718837</v>
      </c>
      <c r="D35" s="69">
        <v>34.605125826278559</v>
      </c>
      <c r="E35" s="69">
        <v>16.714356191415884</v>
      </c>
      <c r="F35" s="69">
        <f t="shared" si="0"/>
        <v>81.070821000909802</v>
      </c>
      <c r="G35" s="70">
        <v>75.146299999999997</v>
      </c>
      <c r="H35" s="70">
        <v>0.11070000000000001</v>
      </c>
      <c r="L35" s="70">
        <v>13.9491</v>
      </c>
      <c r="M35" s="70">
        <v>33.767099999999999</v>
      </c>
      <c r="N35" s="71">
        <v>89.248000000000005</v>
      </c>
      <c r="P35" s="71">
        <v>62.156700000000001</v>
      </c>
      <c r="Q35" s="71">
        <v>22.836200000000002</v>
      </c>
      <c r="R35" s="71">
        <v>5.2766999999999999</v>
      </c>
      <c r="S35" s="71">
        <v>28.0762</v>
      </c>
      <c r="T35" s="72"/>
      <c r="U35" s="73"/>
      <c r="V35" s="73"/>
      <c r="W35" s="72"/>
      <c r="X35" s="72"/>
      <c r="Y35" s="72"/>
      <c r="Z35" s="72"/>
      <c r="AA35" s="72"/>
      <c r="AB35" s="72"/>
      <c r="AE35" s="87">
        <v>51.467268623024829</v>
      </c>
      <c r="AF35" s="87">
        <v>84.759364490316599</v>
      </c>
      <c r="AG35" s="87">
        <v>16.786712711725045</v>
      </c>
      <c r="AH35" s="87">
        <f t="shared" si="7"/>
        <v>-33.292095867291771</v>
      </c>
      <c r="AI35" s="70">
        <v>55.472499999999997</v>
      </c>
      <c r="AK35" s="70">
        <v>2.3E-2</v>
      </c>
      <c r="AL35" s="70">
        <v>17.360499999999998</v>
      </c>
      <c r="AM35" s="70">
        <v>4.4093999999999998</v>
      </c>
      <c r="AN35" s="71">
        <v>125.67010000000001</v>
      </c>
      <c r="AO35" s="71">
        <v>49.179400000000001</v>
      </c>
      <c r="AP35" s="71">
        <v>26.2041</v>
      </c>
      <c r="AQ35" s="71">
        <v>5.6715</v>
      </c>
      <c r="AR35" s="71">
        <v>32.124000000000002</v>
      </c>
      <c r="AS35" s="72"/>
      <c r="AT35" s="75"/>
      <c r="AU35" s="75"/>
      <c r="AV35" s="75"/>
      <c r="AW35" s="75"/>
      <c r="AX35" s="72"/>
      <c r="AY35" s="72"/>
      <c r="AZ35" s="72"/>
      <c r="BA35" s="72"/>
      <c r="BD35" s="69">
        <v>65.914221218961629</v>
      </c>
      <c r="BE35" s="69">
        <v>85.817001043720296</v>
      </c>
      <c r="BG35" s="69">
        <f t="shared" si="12"/>
        <v>-19.902779824758667</v>
      </c>
      <c r="BH35" s="70">
        <v>54.934699999999999</v>
      </c>
      <c r="BK35" s="70">
        <v>1.9599999999999999E-2</v>
      </c>
      <c r="BM35" s="70">
        <v>22.3246</v>
      </c>
      <c r="BN35" s="70">
        <v>5.0023</v>
      </c>
      <c r="BO35" s="71">
        <v>125.6831</v>
      </c>
      <c r="BQ35" s="71">
        <v>48.816600000000001</v>
      </c>
      <c r="BR35" s="71">
        <v>25.9786</v>
      </c>
      <c r="BS35" s="71">
        <v>5.7287999999999997</v>
      </c>
      <c r="BT35" s="71">
        <v>32.984999999999999</v>
      </c>
      <c r="BU35" s="72"/>
      <c r="BV35" s="72"/>
      <c r="BW35" s="72"/>
      <c r="BX35" s="72"/>
      <c r="BY35" s="72"/>
      <c r="BZ35" s="72"/>
      <c r="CA35" s="72"/>
      <c r="CB35" s="72"/>
      <c r="CE35" s="69"/>
      <c r="CF35" s="69"/>
      <c r="CG35" s="69"/>
      <c r="CH35" s="69"/>
      <c r="CI35" s="76"/>
      <c r="CJ35" s="76"/>
      <c r="CK35" s="177"/>
      <c r="CL35" s="70"/>
      <c r="CM35" s="76"/>
      <c r="CN35" s="77"/>
      <c r="CO35" s="77"/>
      <c r="CP35" s="77"/>
      <c r="CQ35" s="77"/>
      <c r="CR35" s="77"/>
      <c r="CS35" s="66"/>
      <c r="CT35" s="66"/>
      <c r="CU35" s="66"/>
      <c r="CV35" s="66"/>
      <c r="CW35" s="66"/>
      <c r="CX35" s="66"/>
      <c r="CY35" s="66"/>
      <c r="CZ35" s="66"/>
      <c r="DA35" s="168"/>
      <c r="DB35" s="67"/>
      <c r="DC35" s="69"/>
      <c r="DD35" s="69"/>
      <c r="DE35" s="69"/>
      <c r="DF35" s="69"/>
      <c r="DG35" s="70"/>
      <c r="DH35" s="70"/>
      <c r="DI35" s="70"/>
      <c r="DJ35" s="177"/>
      <c r="DK35" s="177"/>
      <c r="DL35" s="70"/>
      <c r="DM35" s="70"/>
      <c r="DN35" s="71"/>
      <c r="DO35" s="71"/>
      <c r="DP35" s="180"/>
      <c r="DQ35" s="180"/>
      <c r="DR35" s="71"/>
      <c r="DS35" s="180"/>
      <c r="DT35" s="66"/>
      <c r="DU35" s="79"/>
      <c r="DV35" s="79"/>
      <c r="DW35" s="119"/>
      <c r="DX35" s="79"/>
      <c r="DY35" s="136"/>
      <c r="DZ35" s="168"/>
      <c r="EA35" s="74"/>
      <c r="EB35" s="78">
        <f t="shared" si="8"/>
        <v>43.018213356461409</v>
      </c>
      <c r="EC35" s="78">
        <f t="shared" si="9"/>
        <v>-147.98927613941021</v>
      </c>
      <c r="ED35" s="78">
        <f t="shared" si="10"/>
        <v>100</v>
      </c>
      <c r="EE35" s="78">
        <f t="shared" si="11"/>
        <v>124.54986834848425</v>
      </c>
      <c r="EF35" s="79"/>
      <c r="EG35" s="66"/>
      <c r="EH35" s="66"/>
      <c r="EI35" s="66"/>
      <c r="EJ35" s="79"/>
      <c r="EK35" s="66"/>
      <c r="EL35" s="66"/>
      <c r="EM35" s="66"/>
      <c r="EN35" s="66"/>
      <c r="EO35" s="66"/>
      <c r="EP35" s="66"/>
    </row>
    <row r="36" spans="1:146" hidden="1" x14ac:dyDescent="0.3">
      <c r="A36" s="86">
        <v>44518</v>
      </c>
      <c r="B36" s="86"/>
      <c r="C36" s="69">
        <v>148.08126410835214</v>
      </c>
      <c r="D36" s="69">
        <v>30.253971935521282</v>
      </c>
      <c r="E36" s="69">
        <v>19.97697747081072</v>
      </c>
      <c r="F36" s="69">
        <f t="shared" si="0"/>
        <v>117.82729217283087</v>
      </c>
      <c r="G36" s="70">
        <v>58.843699999999998</v>
      </c>
      <c r="L36" s="70">
        <v>11.5663</v>
      </c>
      <c r="M36" s="70">
        <v>35.593800000000002</v>
      </c>
      <c r="N36" s="71">
        <v>93.999600000000001</v>
      </c>
      <c r="P36" s="71">
        <v>54.363199999999999</v>
      </c>
      <c r="Q36" s="71">
        <v>21.513000000000002</v>
      </c>
      <c r="R36" s="71">
        <v>5.3907999999999996</v>
      </c>
      <c r="S36" s="71">
        <v>27.893999999999998</v>
      </c>
      <c r="T36" s="72"/>
      <c r="U36" s="73"/>
      <c r="V36" s="73"/>
      <c r="W36" s="72"/>
      <c r="X36" s="72"/>
      <c r="Y36" s="72"/>
      <c r="Z36" s="72"/>
      <c r="AA36" s="72"/>
      <c r="AB36" s="72"/>
      <c r="AE36" s="87">
        <v>92.420366190117889</v>
      </c>
      <c r="AF36" s="87">
        <v>44.680505624492639</v>
      </c>
      <c r="AG36" s="87">
        <v>15.148824206544976</v>
      </c>
      <c r="AH36" s="87">
        <f t="shared" si="7"/>
        <v>47.73986056562525</v>
      </c>
      <c r="AI36" s="70">
        <v>49.727600000000002</v>
      </c>
      <c r="AK36" s="70">
        <v>2.7799999999999998E-2</v>
      </c>
      <c r="AL36" s="70">
        <v>7.7544000000000004</v>
      </c>
      <c r="AM36" s="70">
        <v>31.838699999999999</v>
      </c>
      <c r="AN36" s="71">
        <v>84.724000000000004</v>
      </c>
      <c r="AO36" s="71">
        <v>48.7515</v>
      </c>
      <c r="AP36" s="71">
        <v>19.5928</v>
      </c>
      <c r="AQ36" s="71">
        <v>5.1292999999999997</v>
      </c>
      <c r="AR36" s="71">
        <v>28.369299999999999</v>
      </c>
      <c r="AS36" s="72"/>
      <c r="AT36" s="75"/>
      <c r="AU36" s="75"/>
      <c r="AV36" s="75"/>
      <c r="AW36" s="75"/>
      <c r="AX36" s="72"/>
      <c r="AY36" s="72"/>
      <c r="AZ36" s="72"/>
      <c r="BA36" s="72"/>
      <c r="BD36" s="69">
        <v>93.01228994231252</v>
      </c>
      <c r="BE36" s="69">
        <v>47.148324249101243</v>
      </c>
      <c r="BG36" s="69">
        <f t="shared" ref="BG36:BG61" si="13">BD36-BE36</f>
        <v>45.863965693211277</v>
      </c>
      <c r="BH36" s="70">
        <v>49.853499999999997</v>
      </c>
      <c r="BK36" s="70">
        <v>0.126</v>
      </c>
      <c r="BM36" s="70">
        <v>3.9499</v>
      </c>
      <c r="BN36" s="70">
        <v>27.262499999999999</v>
      </c>
      <c r="BO36" s="71">
        <v>85.422499999999999</v>
      </c>
      <c r="BQ36" s="71">
        <v>48.751199999999997</v>
      </c>
      <c r="BR36" s="71">
        <v>19.791499999999999</v>
      </c>
      <c r="BS36" s="71">
        <v>5.1239999999999997</v>
      </c>
      <c r="BT36" s="71">
        <v>28.189900000000002</v>
      </c>
      <c r="BU36" s="72"/>
      <c r="BV36" s="72"/>
      <c r="BW36" s="72"/>
      <c r="BX36" s="72"/>
      <c r="BY36" s="72"/>
      <c r="BZ36" s="72"/>
      <c r="CA36" s="72"/>
      <c r="CB36" s="72"/>
      <c r="CE36" s="69"/>
      <c r="CF36" s="69"/>
      <c r="CG36" s="69"/>
      <c r="CH36" s="69"/>
      <c r="CI36" s="76"/>
      <c r="CJ36" s="76"/>
      <c r="CK36" s="177"/>
      <c r="CL36" s="70"/>
      <c r="CM36" s="76"/>
      <c r="CN36" s="77"/>
      <c r="CO36" s="77"/>
      <c r="CP36" s="77"/>
      <c r="CQ36" s="77"/>
      <c r="CR36" s="77"/>
      <c r="CS36" s="66"/>
      <c r="CT36" s="66"/>
      <c r="CU36" s="66"/>
      <c r="CV36" s="66"/>
      <c r="CW36" s="66"/>
      <c r="CX36" s="66"/>
      <c r="CY36" s="66"/>
      <c r="CZ36" s="66"/>
      <c r="DA36" s="168"/>
      <c r="DB36" s="67"/>
      <c r="DC36" s="69"/>
      <c r="DD36" s="69"/>
      <c r="DE36" s="69"/>
      <c r="DF36" s="69"/>
      <c r="DG36" s="70"/>
      <c r="DH36" s="70"/>
      <c r="DI36" s="70"/>
      <c r="DJ36" s="177"/>
      <c r="DK36" s="177"/>
      <c r="DL36" s="70"/>
      <c r="DM36" s="70"/>
      <c r="DN36" s="71"/>
      <c r="DO36" s="71"/>
      <c r="DP36" s="180"/>
      <c r="DQ36" s="180"/>
      <c r="DR36" s="71"/>
      <c r="DS36" s="180"/>
      <c r="DT36" s="66"/>
      <c r="DU36" s="79"/>
      <c r="DV36" s="79"/>
      <c r="DW36" s="119"/>
      <c r="DX36" s="79"/>
      <c r="DY36" s="136"/>
      <c r="DZ36" s="168"/>
      <c r="EA36" s="74"/>
      <c r="EB36" s="78">
        <f t="shared" si="8"/>
        <v>37.188346883468824</v>
      </c>
      <c r="EC36" s="78">
        <f t="shared" si="9"/>
        <v>-55.841766329346832</v>
      </c>
      <c r="ED36" s="78">
        <f t="shared" si="10"/>
        <v>100</v>
      </c>
      <c r="EE36" s="78">
        <f t="shared" si="11"/>
        <v>61.075261217123341</v>
      </c>
      <c r="EF36" s="79"/>
      <c r="EG36" s="66"/>
      <c r="EH36" s="66"/>
      <c r="EI36" s="66"/>
      <c r="EJ36" s="79"/>
      <c r="EK36" s="66"/>
      <c r="EL36" s="66"/>
      <c r="EM36" s="66"/>
      <c r="EN36" s="66"/>
      <c r="EO36" s="66"/>
      <c r="EP36" s="66"/>
    </row>
    <row r="37" spans="1:146" hidden="1" x14ac:dyDescent="0.3">
      <c r="A37" s="86">
        <v>44523</v>
      </c>
      <c r="B37" s="86"/>
      <c r="C37" s="69">
        <v>85.330408550000001</v>
      </c>
      <c r="D37" s="69">
        <v>64.672633070000003</v>
      </c>
      <c r="E37" s="69">
        <v>25.954785950000002</v>
      </c>
      <c r="F37" s="69">
        <f t="shared" si="0"/>
        <v>20.657775479999998</v>
      </c>
      <c r="G37" s="70">
        <v>51.818199999999997</v>
      </c>
      <c r="H37" s="70">
        <v>0</v>
      </c>
      <c r="J37" s="70">
        <v>0</v>
      </c>
      <c r="L37" s="70">
        <v>10.1602</v>
      </c>
      <c r="M37" s="70">
        <v>19.898499999999999</v>
      </c>
      <c r="N37" s="71">
        <v>79.556899999999999</v>
      </c>
      <c r="P37" s="71">
        <v>47.686900000000001</v>
      </c>
      <c r="Q37" s="71">
        <v>26.600100000000001</v>
      </c>
      <c r="R37" s="71">
        <v>4.6997999999999998</v>
      </c>
      <c r="S37" s="71">
        <v>25.179300000000001</v>
      </c>
      <c r="T37" s="72"/>
      <c r="U37" s="73"/>
      <c r="V37" s="73"/>
      <c r="W37" s="72"/>
      <c r="X37" s="72"/>
      <c r="Y37" s="72"/>
      <c r="Z37" s="72"/>
      <c r="AA37" s="72"/>
      <c r="AB37" s="72"/>
      <c r="AD37" s="74">
        <v>6.89</v>
      </c>
      <c r="AE37" s="87">
        <v>78.365780090000001</v>
      </c>
      <c r="AF37" s="87">
        <v>69.477154970000001</v>
      </c>
      <c r="AG37" s="87">
        <v>24.76960077</v>
      </c>
      <c r="AH37" s="87">
        <f t="shared" si="7"/>
        <v>8.8886251200000004</v>
      </c>
      <c r="AI37" s="70">
        <v>53.989699999999999</v>
      </c>
      <c r="AJ37" s="70">
        <v>0</v>
      </c>
      <c r="AK37" s="70">
        <v>0</v>
      </c>
      <c r="AL37" s="70">
        <v>11.1144</v>
      </c>
      <c r="AM37" s="70">
        <v>7.5075000000000003</v>
      </c>
      <c r="AN37" s="71">
        <v>83.731499999999997</v>
      </c>
      <c r="AO37" s="71">
        <v>44.260199999999998</v>
      </c>
      <c r="AP37" s="71">
        <v>29.2639</v>
      </c>
      <c r="AQ37" s="71">
        <v>4.9976000000000003</v>
      </c>
      <c r="AR37" s="71">
        <v>29.0548</v>
      </c>
      <c r="AS37" s="72"/>
      <c r="AT37" s="75"/>
      <c r="AU37" s="75"/>
      <c r="AV37" s="75"/>
      <c r="AW37" s="75"/>
      <c r="AX37" s="72"/>
      <c r="AY37" s="72"/>
      <c r="AZ37" s="72"/>
      <c r="BA37" s="72"/>
      <c r="BC37" s="74">
        <v>7.08</v>
      </c>
      <c r="BD37" s="69">
        <v>75.897998349999995</v>
      </c>
      <c r="BE37" s="69">
        <v>70.796043330000003</v>
      </c>
      <c r="BF37" s="69">
        <v>26.189514190000001</v>
      </c>
      <c r="BG37" s="69">
        <f t="shared" si="13"/>
        <v>5.1019550199999912</v>
      </c>
      <c r="BH37" s="70">
        <v>54.741799999999998</v>
      </c>
      <c r="BI37" s="70">
        <v>0</v>
      </c>
      <c r="BK37" s="70">
        <v>0</v>
      </c>
      <c r="BM37" s="70">
        <v>17.131699999999999</v>
      </c>
      <c r="BN37" s="70">
        <v>7.3994999999999997</v>
      </c>
      <c r="BO37" s="71">
        <v>90.371200000000002</v>
      </c>
      <c r="BQ37" s="71">
        <v>46.344700000000003</v>
      </c>
      <c r="BR37" s="71">
        <v>29.409500000000001</v>
      </c>
      <c r="BS37" s="71">
        <v>5.2687999999999997</v>
      </c>
      <c r="BT37" s="71">
        <v>29.988099999999999</v>
      </c>
      <c r="BU37" s="72"/>
      <c r="BV37" s="72"/>
      <c r="BW37" s="72"/>
      <c r="BX37" s="72"/>
      <c r="BY37" s="72"/>
      <c r="BZ37" s="72"/>
      <c r="CA37" s="72"/>
      <c r="CB37" s="72"/>
      <c r="CD37" s="74">
        <v>6.91</v>
      </c>
      <c r="CE37" s="69"/>
      <c r="CF37" s="69"/>
      <c r="CG37" s="69"/>
      <c r="CH37" s="69"/>
      <c r="CI37" s="76"/>
      <c r="CJ37" s="76"/>
      <c r="CK37" s="177"/>
      <c r="CL37" s="70"/>
      <c r="CM37" s="76"/>
      <c r="CN37" s="77"/>
      <c r="CO37" s="77"/>
      <c r="CP37" s="77"/>
      <c r="CQ37" s="77"/>
      <c r="CR37" s="77"/>
      <c r="CS37" s="66"/>
      <c r="CT37" s="66"/>
      <c r="CU37" s="66"/>
      <c r="CV37" s="66"/>
      <c r="CW37" s="66"/>
      <c r="CX37" s="66"/>
      <c r="CY37" s="66"/>
      <c r="CZ37" s="66"/>
      <c r="DA37" s="168"/>
      <c r="DB37" s="67"/>
      <c r="DC37" s="69"/>
      <c r="DD37" s="69"/>
      <c r="DE37" s="69"/>
      <c r="DF37" s="69"/>
      <c r="DG37" s="70"/>
      <c r="DH37" s="70"/>
      <c r="DI37" s="70"/>
      <c r="DJ37" s="177"/>
      <c r="DK37" s="177"/>
      <c r="DL37" s="70"/>
      <c r="DM37" s="70"/>
      <c r="DN37" s="71"/>
      <c r="DO37" s="71"/>
      <c r="DP37" s="180"/>
      <c r="DQ37" s="180"/>
      <c r="DR37" s="71"/>
      <c r="DS37" s="180"/>
      <c r="DT37" s="66"/>
      <c r="DU37" s="79"/>
      <c r="DV37" s="79"/>
      <c r="DW37" s="119"/>
      <c r="DX37" s="79"/>
      <c r="DY37" s="136"/>
      <c r="DZ37" s="168"/>
      <c r="EA37" s="74"/>
      <c r="EB37" s="78">
        <f t="shared" si="8"/>
        <v>11.053984576287379</v>
      </c>
      <c r="EC37" s="78">
        <f t="shared" si="9"/>
        <v>-9.4683175391547358</v>
      </c>
      <c r="ED37" s="78">
        <f t="shared" si="10"/>
        <v>-0.9043736305596406</v>
      </c>
      <c r="EE37" s="78">
        <f t="shared" si="11"/>
        <v>75.30249554246781</v>
      </c>
      <c r="EF37" s="79"/>
      <c r="EG37" s="66"/>
      <c r="EH37" s="66"/>
      <c r="EI37" s="66"/>
      <c r="EJ37" s="79"/>
      <c r="EK37" s="66"/>
      <c r="EL37" s="66"/>
      <c r="EM37" s="66"/>
      <c r="EN37" s="66"/>
      <c r="EO37" s="66"/>
      <c r="EP37" s="66"/>
    </row>
    <row r="38" spans="1:146" hidden="1" x14ac:dyDescent="0.3">
      <c r="A38" s="86">
        <v>44525</v>
      </c>
      <c r="B38" s="86"/>
      <c r="C38" s="69">
        <v>77.433506989999998</v>
      </c>
      <c r="D38" s="69">
        <v>66.321243519999996</v>
      </c>
      <c r="E38" s="69">
        <v>24.053872049999999</v>
      </c>
      <c r="F38" s="69">
        <f t="shared" si="0"/>
        <v>11.112263470000002</v>
      </c>
      <c r="G38" s="70">
        <v>64.010400000000004</v>
      </c>
      <c r="H38" s="70">
        <v>0</v>
      </c>
      <c r="J38" s="70">
        <v>0</v>
      </c>
      <c r="L38" s="70">
        <v>1.4452</v>
      </c>
      <c r="M38" s="70">
        <v>20.0318</v>
      </c>
      <c r="N38" s="71">
        <v>76.705200000000005</v>
      </c>
      <c r="P38" s="71">
        <v>52.003599999999999</v>
      </c>
      <c r="Q38" s="71">
        <v>32.943800000000003</v>
      </c>
      <c r="R38" s="71">
        <v>4.6402000000000001</v>
      </c>
      <c r="S38" s="71">
        <v>25.089200000000002</v>
      </c>
      <c r="T38" s="72"/>
      <c r="U38" s="73"/>
      <c r="V38" s="73"/>
      <c r="W38" s="72"/>
      <c r="X38" s="72"/>
      <c r="Y38" s="72"/>
      <c r="Z38" s="72"/>
      <c r="AA38" s="72"/>
      <c r="AB38" s="72"/>
      <c r="AD38" s="74">
        <v>6.97</v>
      </c>
      <c r="AE38" s="87">
        <v>83.90457911</v>
      </c>
      <c r="AF38" s="87">
        <v>61.328308999999997</v>
      </c>
      <c r="AG38" s="87">
        <v>24.257816259999998</v>
      </c>
      <c r="AH38" s="87">
        <f t="shared" si="7"/>
        <v>22.576270110000003</v>
      </c>
      <c r="AI38" s="70">
        <v>56.359000000000002</v>
      </c>
      <c r="AJ38" s="70">
        <v>0</v>
      </c>
      <c r="AK38" s="70">
        <v>0</v>
      </c>
      <c r="AL38" s="70">
        <v>11.3004</v>
      </c>
      <c r="AM38" s="70">
        <v>4.5270000000000001</v>
      </c>
      <c r="AN38" s="71">
        <v>76.732799999999997</v>
      </c>
      <c r="AO38" s="71">
        <v>47.594099999999997</v>
      </c>
      <c r="AP38" s="71">
        <v>28.180800000000001</v>
      </c>
      <c r="AQ38" s="71">
        <v>4.9040999999999997</v>
      </c>
      <c r="AR38" s="71">
        <v>27.7255</v>
      </c>
      <c r="AS38" s="72"/>
      <c r="AT38" s="75"/>
      <c r="AU38" s="75"/>
      <c r="AV38" s="75"/>
      <c r="AW38" s="75"/>
      <c r="AX38" s="72"/>
      <c r="AY38" s="72"/>
      <c r="AZ38" s="72"/>
      <c r="BA38" s="72"/>
      <c r="BC38" s="74">
        <v>6.95</v>
      </c>
      <c r="BD38" s="69">
        <v>82.478749660000005</v>
      </c>
      <c r="BE38" s="69">
        <v>63.400847859999999</v>
      </c>
      <c r="BF38" s="69">
        <v>24.831168829999999</v>
      </c>
      <c r="BG38" s="69">
        <f t="shared" si="13"/>
        <v>19.077901800000006</v>
      </c>
      <c r="BH38" s="70">
        <v>55.247799999999998</v>
      </c>
      <c r="BI38" s="70">
        <v>0</v>
      </c>
      <c r="BK38" s="70">
        <v>0</v>
      </c>
      <c r="BM38" s="70">
        <v>10.6065</v>
      </c>
      <c r="BN38" s="70">
        <v>5.4382000000000001</v>
      </c>
      <c r="BO38" s="71">
        <v>74.406300000000002</v>
      </c>
      <c r="BQ38" s="71">
        <v>47.461100000000002</v>
      </c>
      <c r="BR38" s="71">
        <v>26.646000000000001</v>
      </c>
      <c r="BS38" s="71">
        <v>4.8807999999999998</v>
      </c>
      <c r="BT38" s="71">
        <v>28.046299999999999</v>
      </c>
      <c r="BU38" s="72"/>
      <c r="BV38" s="72"/>
      <c r="BW38" s="72"/>
      <c r="BX38" s="72"/>
      <c r="BY38" s="72"/>
      <c r="BZ38" s="72"/>
      <c r="CA38" s="72"/>
      <c r="CB38" s="72"/>
      <c r="CD38" s="74">
        <v>6.8</v>
      </c>
      <c r="CE38" s="69"/>
      <c r="CF38" s="69"/>
      <c r="CG38" s="69"/>
      <c r="CH38" s="69"/>
      <c r="CI38" s="76"/>
      <c r="CJ38" s="76"/>
      <c r="CK38" s="177"/>
      <c r="CL38" s="70"/>
      <c r="CM38" s="76"/>
      <c r="CN38" s="77"/>
      <c r="CO38" s="77"/>
      <c r="CP38" s="77"/>
      <c r="CQ38" s="77"/>
      <c r="CR38" s="77"/>
      <c r="CS38" s="66"/>
      <c r="CT38" s="66"/>
      <c r="CU38" s="66"/>
      <c r="CV38" s="66"/>
      <c r="CW38" s="66"/>
      <c r="CX38" s="66"/>
      <c r="CY38" s="66"/>
      <c r="CZ38" s="66"/>
      <c r="DA38" s="168"/>
      <c r="DB38" s="67"/>
      <c r="DC38" s="69"/>
      <c r="DD38" s="69"/>
      <c r="DE38" s="69"/>
      <c r="DF38" s="69"/>
      <c r="DG38" s="70"/>
      <c r="DH38" s="70"/>
      <c r="DI38" s="70"/>
      <c r="DJ38" s="177"/>
      <c r="DK38" s="177"/>
      <c r="DL38" s="70"/>
      <c r="DM38" s="70"/>
      <c r="DN38" s="71"/>
      <c r="DO38" s="71"/>
      <c r="DP38" s="180"/>
      <c r="DQ38" s="180"/>
      <c r="DR38" s="71"/>
      <c r="DS38" s="180"/>
      <c r="DT38" s="66"/>
      <c r="DU38" s="79"/>
      <c r="DV38" s="79"/>
      <c r="DW38" s="119"/>
      <c r="DX38" s="79"/>
      <c r="DY38" s="136"/>
      <c r="DZ38" s="168"/>
      <c r="EA38" s="74"/>
      <c r="EB38" s="78">
        <f t="shared" si="8"/>
        <v>-6.5155807429096102</v>
      </c>
      <c r="EC38" s="78">
        <f t="shared" si="9"/>
        <v>4.4034090813139137</v>
      </c>
      <c r="ED38" s="78">
        <f t="shared" si="10"/>
        <v>-3.2314829744843454</v>
      </c>
      <c r="EE38" s="78">
        <f t="shared" si="11"/>
        <v>-71.683310528993459</v>
      </c>
      <c r="EF38" s="79"/>
      <c r="EG38" s="66"/>
      <c r="EH38" s="66"/>
      <c r="EI38" s="66"/>
      <c r="EJ38" s="79"/>
      <c r="EK38" s="66"/>
      <c r="EL38" s="66"/>
      <c r="EM38" s="66"/>
      <c r="EN38" s="66"/>
      <c r="EO38" s="66"/>
      <c r="EP38" s="66"/>
    </row>
    <row r="39" spans="1:146" hidden="1" x14ac:dyDescent="0.3">
      <c r="A39" s="86">
        <v>44529</v>
      </c>
      <c r="B39" s="86"/>
      <c r="C39" s="69">
        <v>115.6018645</v>
      </c>
      <c r="D39" s="69">
        <v>52.991050399999999</v>
      </c>
      <c r="E39" s="69">
        <v>27.224627219999999</v>
      </c>
      <c r="F39" s="69">
        <f t="shared" si="0"/>
        <v>62.610814100000006</v>
      </c>
      <c r="G39" s="70">
        <v>62.484699999999997</v>
      </c>
      <c r="H39" s="70">
        <v>0</v>
      </c>
      <c r="J39" s="70">
        <v>0</v>
      </c>
      <c r="L39" s="70">
        <v>9.9579000000000004</v>
      </c>
      <c r="M39" s="70">
        <v>23.493400000000001</v>
      </c>
      <c r="N39" s="71">
        <v>86.432500000000005</v>
      </c>
      <c r="P39" s="71">
        <v>52.512099999999997</v>
      </c>
      <c r="Q39" s="71">
        <v>30.980699999999999</v>
      </c>
      <c r="R39" s="71">
        <v>5.0763999999999996</v>
      </c>
      <c r="S39" s="71">
        <v>26.000499999999999</v>
      </c>
      <c r="T39" s="72"/>
      <c r="U39" s="73"/>
      <c r="V39" s="73"/>
      <c r="W39" s="72"/>
      <c r="X39" s="72"/>
      <c r="Y39" s="72"/>
      <c r="Z39" s="72"/>
      <c r="AA39" s="72"/>
      <c r="AB39" s="72"/>
      <c r="AD39" s="74">
        <v>7.14</v>
      </c>
      <c r="AE39" s="87">
        <v>129.20208389999999</v>
      </c>
      <c r="AF39" s="87">
        <v>40.617051340000003</v>
      </c>
      <c r="AG39" s="87">
        <v>24.296296300000002</v>
      </c>
      <c r="AH39" s="87">
        <f t="shared" si="7"/>
        <v>88.585032559999988</v>
      </c>
      <c r="AI39" s="70">
        <v>56.643799999999999</v>
      </c>
      <c r="AJ39" s="70">
        <v>0</v>
      </c>
      <c r="AK39" s="70">
        <v>0</v>
      </c>
      <c r="AL39" s="70">
        <v>15.276899999999999</v>
      </c>
      <c r="AM39" s="70">
        <v>5.7283999999999997</v>
      </c>
      <c r="AN39" s="71">
        <v>79.978300000000004</v>
      </c>
      <c r="AO39" s="71">
        <v>46.0974</v>
      </c>
      <c r="AP39" s="71">
        <v>28.1204</v>
      </c>
      <c r="AQ39" s="71">
        <v>4.9978999999999996</v>
      </c>
      <c r="AR39" s="71">
        <v>28.382200000000001</v>
      </c>
      <c r="AS39" s="72"/>
      <c r="AT39" s="75"/>
      <c r="AU39" s="75"/>
      <c r="AV39" s="75"/>
      <c r="AW39" s="75"/>
      <c r="AX39" s="72"/>
      <c r="AY39" s="72"/>
      <c r="AZ39" s="72"/>
      <c r="BA39" s="72"/>
      <c r="BC39" s="74">
        <v>6.78</v>
      </c>
      <c r="BD39" s="69">
        <v>108.25335889999999</v>
      </c>
      <c r="BE39" s="69">
        <v>49.88224211</v>
      </c>
      <c r="BF39" s="69">
        <v>24.973544969999999</v>
      </c>
      <c r="BG39" s="69">
        <f t="shared" si="13"/>
        <v>58.371116789999995</v>
      </c>
      <c r="BH39" s="70">
        <v>55.421500000000002</v>
      </c>
      <c r="BI39" s="70">
        <v>0</v>
      </c>
      <c r="BK39" s="70">
        <v>0.1154</v>
      </c>
      <c r="BM39" s="70">
        <v>15.582599999999999</v>
      </c>
      <c r="BN39" s="70">
        <v>2.4693000000000001</v>
      </c>
      <c r="BO39" s="71">
        <v>81.716999999999999</v>
      </c>
      <c r="BQ39" s="71">
        <v>45.500900000000001</v>
      </c>
      <c r="BR39" s="71">
        <v>26.2775</v>
      </c>
      <c r="BS39" s="71">
        <v>4.9253</v>
      </c>
      <c r="BT39" s="71">
        <v>27.026599999999998</v>
      </c>
      <c r="BU39" s="72"/>
      <c r="BV39" s="72"/>
      <c r="BW39" s="72"/>
      <c r="BX39" s="72"/>
      <c r="BY39" s="72"/>
      <c r="BZ39" s="72"/>
      <c r="CA39" s="72"/>
      <c r="CB39" s="72"/>
      <c r="CD39" s="74">
        <v>6.83</v>
      </c>
      <c r="CE39" s="69"/>
      <c r="CF39" s="69"/>
      <c r="CG39" s="69"/>
      <c r="CH39" s="69"/>
      <c r="CI39" s="76"/>
      <c r="CJ39" s="76"/>
      <c r="CK39" s="177"/>
      <c r="CL39" s="70"/>
      <c r="CM39" s="76"/>
      <c r="CN39" s="77"/>
      <c r="CO39" s="77"/>
      <c r="CP39" s="77"/>
      <c r="CQ39" s="77"/>
      <c r="CR39" s="77"/>
      <c r="CS39" s="66"/>
      <c r="CT39" s="66"/>
      <c r="CU39" s="66"/>
      <c r="CV39" s="66"/>
      <c r="CW39" s="66"/>
      <c r="CX39" s="66"/>
      <c r="CY39" s="66"/>
      <c r="CZ39" s="66"/>
      <c r="DA39" s="168"/>
      <c r="DB39" s="67"/>
      <c r="DC39" s="69"/>
      <c r="DD39" s="69"/>
      <c r="DE39" s="69"/>
      <c r="DF39" s="69"/>
      <c r="DG39" s="70"/>
      <c r="DH39" s="70"/>
      <c r="DI39" s="70"/>
      <c r="DJ39" s="177"/>
      <c r="DK39" s="177"/>
      <c r="DL39" s="70"/>
      <c r="DM39" s="70"/>
      <c r="DN39" s="71"/>
      <c r="DO39" s="71"/>
      <c r="DP39" s="180"/>
      <c r="DQ39" s="180"/>
      <c r="DR39" s="71"/>
      <c r="DS39" s="180"/>
      <c r="DT39" s="66"/>
      <c r="DU39" s="79"/>
      <c r="DV39" s="79"/>
      <c r="DW39" s="119"/>
      <c r="DX39" s="79"/>
      <c r="DY39" s="136"/>
      <c r="DZ39" s="168"/>
      <c r="EA39" s="74"/>
      <c r="EB39" s="78">
        <f t="shared" si="8"/>
        <v>6.3567362272085255</v>
      </c>
      <c r="EC39" s="78">
        <f t="shared" si="9"/>
        <v>5.8666666664150551</v>
      </c>
      <c r="ED39" s="78">
        <f t="shared" si="10"/>
        <v>8.2685512341792116</v>
      </c>
      <c r="EE39" s="78">
        <f t="shared" si="11"/>
        <v>6.7715096360646321</v>
      </c>
      <c r="EF39" s="79"/>
      <c r="EG39" s="66"/>
      <c r="EH39" s="66"/>
      <c r="EI39" s="66"/>
      <c r="EJ39" s="79"/>
      <c r="EK39" s="66"/>
      <c r="EL39" s="66"/>
      <c r="EM39" s="66"/>
      <c r="EN39" s="66"/>
      <c r="EO39" s="66"/>
      <c r="EP39" s="66"/>
    </row>
    <row r="40" spans="1:146" hidden="1" x14ac:dyDescent="0.3">
      <c r="A40" s="86">
        <v>44531</v>
      </c>
      <c r="B40" s="86"/>
      <c r="C40" s="69">
        <v>117.301892</v>
      </c>
      <c r="D40" s="69">
        <v>51.154027319999997</v>
      </c>
      <c r="E40" s="69">
        <v>26.832130830000001</v>
      </c>
      <c r="F40" s="69">
        <f t="shared" si="0"/>
        <v>66.147864679999998</v>
      </c>
      <c r="G40" s="70">
        <v>61.697800000000001</v>
      </c>
      <c r="H40" s="70">
        <v>0</v>
      </c>
      <c r="J40" s="70">
        <v>0</v>
      </c>
      <c r="L40" s="70">
        <v>9.4929000000000006</v>
      </c>
      <c r="M40" s="70">
        <v>27.153300000000002</v>
      </c>
      <c r="N40" s="71">
        <v>84.699200000000005</v>
      </c>
      <c r="P40" s="71">
        <v>52.354700000000001</v>
      </c>
      <c r="Q40" s="71">
        <v>29.7485</v>
      </c>
      <c r="R40" s="71">
        <v>5.0033000000000003</v>
      </c>
      <c r="S40" s="71">
        <v>26.263500000000001</v>
      </c>
      <c r="T40" s="72"/>
      <c r="U40" s="73"/>
      <c r="V40" s="73"/>
      <c r="W40" s="72"/>
      <c r="X40" s="72"/>
      <c r="Y40" s="72"/>
      <c r="Z40" s="72"/>
      <c r="AA40" s="72"/>
      <c r="AB40" s="72"/>
      <c r="AD40" s="74">
        <v>7.01</v>
      </c>
      <c r="AE40" s="87">
        <v>169.28982730000001</v>
      </c>
      <c r="AF40" s="87">
        <v>28.949599620000001</v>
      </c>
      <c r="AG40" s="87">
        <v>27.898027899999999</v>
      </c>
      <c r="AH40" s="87">
        <f t="shared" si="7"/>
        <v>140.34022768</v>
      </c>
      <c r="AI40" s="70">
        <v>56.425899999999999</v>
      </c>
      <c r="AJ40" s="70">
        <v>0</v>
      </c>
      <c r="AK40" s="70">
        <v>0</v>
      </c>
      <c r="AL40" s="70">
        <v>17.4316</v>
      </c>
      <c r="AM40" s="70">
        <v>3.0693000000000001</v>
      </c>
      <c r="AN40" s="71">
        <v>91.917100000000005</v>
      </c>
      <c r="AO40" s="71">
        <v>46.1083</v>
      </c>
      <c r="AP40" s="71">
        <v>26.935600000000001</v>
      </c>
      <c r="AQ40" s="71">
        <v>5.2915000000000001</v>
      </c>
      <c r="AR40" s="71">
        <v>29.4876</v>
      </c>
      <c r="AS40" s="72"/>
      <c r="AT40" s="75"/>
      <c r="AU40" s="75"/>
      <c r="AV40" s="75"/>
      <c r="AW40" s="75"/>
      <c r="AX40" s="72"/>
      <c r="AY40" s="72"/>
      <c r="AZ40" s="72"/>
      <c r="BA40" s="72"/>
      <c r="BC40" s="74">
        <v>6.52</v>
      </c>
      <c r="BD40" s="69">
        <v>176.8576913</v>
      </c>
      <c r="BE40" s="69">
        <v>26.811116340000002</v>
      </c>
      <c r="BF40" s="69">
        <v>28.806156810000001</v>
      </c>
      <c r="BG40" s="69">
        <f t="shared" si="13"/>
        <v>150.04657495999999</v>
      </c>
      <c r="BH40" s="70">
        <v>55.878399999999999</v>
      </c>
      <c r="BI40" s="70">
        <v>0</v>
      </c>
      <c r="BK40" s="70">
        <v>0</v>
      </c>
      <c r="BM40" s="70">
        <v>14.820499999999999</v>
      </c>
      <c r="BN40" s="70">
        <v>7.0777000000000001</v>
      </c>
      <c r="BO40" s="71">
        <v>94.822100000000006</v>
      </c>
      <c r="BQ40" s="71">
        <v>45.718400000000003</v>
      </c>
      <c r="BR40" s="71">
        <v>26.1782</v>
      </c>
      <c r="BS40" s="71">
        <v>5.4565999999999999</v>
      </c>
      <c r="BT40" s="71">
        <v>30.897500000000001</v>
      </c>
      <c r="BU40" s="72"/>
      <c r="BV40" s="72"/>
      <c r="BW40" s="72"/>
      <c r="BX40" s="72"/>
      <c r="BY40" s="72"/>
      <c r="BZ40" s="72"/>
      <c r="CA40" s="72"/>
      <c r="CB40" s="72"/>
      <c r="CD40" s="74">
        <v>6.33</v>
      </c>
      <c r="CE40" s="69"/>
      <c r="CF40" s="69"/>
      <c r="CG40" s="69"/>
      <c r="CH40" s="69"/>
      <c r="CI40" s="76"/>
      <c r="CJ40" s="76"/>
      <c r="CK40" s="177"/>
      <c r="CL40" s="70"/>
      <c r="CM40" s="76"/>
      <c r="CN40" s="77"/>
      <c r="CO40" s="77"/>
      <c r="CP40" s="77"/>
      <c r="CQ40" s="77"/>
      <c r="CR40" s="77"/>
      <c r="CS40" s="66"/>
      <c r="CT40" s="66"/>
      <c r="CU40" s="66"/>
      <c r="CV40" s="66"/>
      <c r="CW40" s="66"/>
      <c r="CX40" s="66"/>
      <c r="CY40" s="66"/>
      <c r="CZ40" s="66"/>
      <c r="DA40" s="168"/>
      <c r="DB40" s="67"/>
      <c r="DC40" s="69"/>
      <c r="DD40" s="69"/>
      <c r="DE40" s="69"/>
      <c r="DF40" s="69"/>
      <c r="DG40" s="70"/>
      <c r="DH40" s="70"/>
      <c r="DI40" s="70"/>
      <c r="DJ40" s="177"/>
      <c r="DK40" s="177"/>
      <c r="DL40" s="70"/>
      <c r="DM40" s="70"/>
      <c r="DN40" s="71"/>
      <c r="DO40" s="71"/>
      <c r="DP40" s="180"/>
      <c r="DQ40" s="180"/>
      <c r="DR40" s="71"/>
      <c r="DS40" s="180"/>
      <c r="DT40" s="66"/>
      <c r="DU40" s="79"/>
      <c r="DV40" s="79"/>
      <c r="DW40" s="119"/>
      <c r="DX40" s="79"/>
      <c r="DY40" s="136"/>
      <c r="DZ40" s="168"/>
      <c r="EA40" s="74"/>
      <c r="EB40" s="78">
        <f t="shared" si="8"/>
        <v>-50.77138849559222</v>
      </c>
      <c r="EC40" s="78">
        <f t="shared" si="9"/>
        <v>47.587476989289755</v>
      </c>
      <c r="ED40" s="78">
        <f t="shared" si="10"/>
        <v>-7.356948251731521</v>
      </c>
      <c r="EE40" s="78">
        <f t="shared" si="11"/>
        <v>-126.83509994747722</v>
      </c>
      <c r="EF40" s="79"/>
      <c r="EG40" s="66"/>
      <c r="EH40" s="66"/>
      <c r="EI40" s="66"/>
      <c r="EJ40" s="79"/>
      <c r="EK40" s="66"/>
      <c r="EL40" s="66"/>
      <c r="EM40" s="66"/>
      <c r="EN40" s="66"/>
      <c r="EO40" s="66"/>
      <c r="EP40" s="66"/>
    </row>
    <row r="41" spans="1:146" hidden="1" x14ac:dyDescent="0.3">
      <c r="A41" s="86">
        <v>44537</v>
      </c>
      <c r="B41" s="86"/>
      <c r="C41" s="69">
        <v>194.24184260000001</v>
      </c>
      <c r="D41" s="69">
        <v>54.451248229999997</v>
      </c>
      <c r="E41" s="69">
        <v>30.43771044</v>
      </c>
      <c r="F41" s="69">
        <f t="shared" si="0"/>
        <v>139.79059437000001</v>
      </c>
      <c r="G41" s="70">
        <v>62.624899999999997</v>
      </c>
      <c r="H41" s="70">
        <v>0</v>
      </c>
      <c r="J41" s="70">
        <v>0.31950000000000001</v>
      </c>
      <c r="L41" s="70">
        <v>13.333399999999999</v>
      </c>
      <c r="M41" s="70">
        <v>31.337199999999999</v>
      </c>
      <c r="N41" s="71">
        <v>94.464799999999997</v>
      </c>
      <c r="P41" s="71">
        <v>53.012</v>
      </c>
      <c r="Q41" s="71">
        <v>30.912199999999999</v>
      </c>
      <c r="R41" s="71">
        <v>5.4455</v>
      </c>
      <c r="S41" s="71">
        <v>25.024899999999999</v>
      </c>
      <c r="T41" s="72"/>
      <c r="U41" s="73"/>
      <c r="V41" s="73"/>
      <c r="W41" s="72"/>
      <c r="X41" s="72"/>
      <c r="Y41" s="72"/>
      <c r="Z41" s="72"/>
      <c r="AA41" s="72"/>
      <c r="AB41" s="72"/>
      <c r="AD41" s="74">
        <v>7.47</v>
      </c>
      <c r="AE41" s="87">
        <v>255.88154650000001</v>
      </c>
      <c r="AF41" s="87">
        <v>21.38012247</v>
      </c>
      <c r="AG41" s="87">
        <v>31.96151996</v>
      </c>
      <c r="AH41" s="87">
        <f t="shared" si="7"/>
        <v>234.50142403000001</v>
      </c>
      <c r="AI41" s="70">
        <v>55.534500000000001</v>
      </c>
      <c r="AJ41" s="70">
        <v>0</v>
      </c>
      <c r="AK41" s="70">
        <v>0</v>
      </c>
      <c r="AL41" s="70">
        <v>27.6051</v>
      </c>
      <c r="AM41" s="70">
        <v>1.6557999999999999</v>
      </c>
      <c r="AN41" s="71">
        <v>108.0274</v>
      </c>
      <c r="AO41" s="71">
        <v>46.025700000000001</v>
      </c>
      <c r="AP41" s="71">
        <v>37.656999999999996</v>
      </c>
      <c r="AQ41" s="71">
        <v>6.4954999999999998</v>
      </c>
      <c r="AR41" s="71">
        <v>39.424199999999999</v>
      </c>
      <c r="AS41" s="72"/>
      <c r="AT41" s="75"/>
      <c r="AU41" s="75"/>
      <c r="AV41" s="75"/>
      <c r="AW41" s="75"/>
      <c r="AX41" s="72"/>
      <c r="AY41" s="72"/>
      <c r="AZ41" s="72"/>
      <c r="BA41" s="72"/>
      <c r="BC41" s="74">
        <v>6.08</v>
      </c>
      <c r="BD41" s="69">
        <v>248.97175759999999</v>
      </c>
      <c r="BE41" s="69">
        <v>21.125765430000001</v>
      </c>
      <c r="BF41" s="69">
        <v>32.188552190000003</v>
      </c>
      <c r="BG41" s="69">
        <f t="shared" si="13"/>
        <v>227.84599216999999</v>
      </c>
      <c r="BH41" s="70">
        <v>53.551600000000001</v>
      </c>
      <c r="BI41" s="70">
        <v>0</v>
      </c>
      <c r="BK41" s="70">
        <v>7.5899999999999995E-2</v>
      </c>
      <c r="BM41" s="70">
        <v>25.904800000000002</v>
      </c>
      <c r="BN41" s="70">
        <v>1.9932000000000001</v>
      </c>
      <c r="BO41" s="71">
        <v>105.60769999999999</v>
      </c>
      <c r="BQ41" s="71">
        <v>44.933</v>
      </c>
      <c r="BR41" s="71">
        <v>35.292200000000001</v>
      </c>
      <c r="BS41" s="71">
        <v>6.3597999999999999</v>
      </c>
      <c r="BT41" s="71">
        <v>38.645200000000003</v>
      </c>
      <c r="BU41" s="72"/>
      <c r="BV41" s="72"/>
      <c r="BW41" s="72"/>
      <c r="BX41" s="72"/>
      <c r="BY41" s="72"/>
      <c r="BZ41" s="72"/>
      <c r="CA41" s="72"/>
      <c r="CB41" s="72"/>
      <c r="CD41" s="74">
        <v>6.1</v>
      </c>
      <c r="CE41" s="69"/>
      <c r="CF41" s="69"/>
      <c r="CG41" s="69"/>
      <c r="CH41" s="69"/>
      <c r="CI41" s="76"/>
      <c r="CJ41" s="76"/>
      <c r="CK41" s="177"/>
      <c r="CL41" s="70"/>
      <c r="CM41" s="76"/>
      <c r="CN41" s="77"/>
      <c r="CO41" s="77"/>
      <c r="CP41" s="77"/>
      <c r="CQ41" s="77"/>
      <c r="CR41" s="77"/>
      <c r="CS41" s="66"/>
      <c r="CT41" s="66"/>
      <c r="CU41" s="66"/>
      <c r="CV41" s="66"/>
      <c r="CW41" s="66"/>
      <c r="CX41" s="66"/>
      <c r="CY41" s="66"/>
      <c r="CZ41" s="66"/>
      <c r="DA41" s="168"/>
      <c r="DB41" s="67"/>
      <c r="DC41" s="69"/>
      <c r="DD41" s="69"/>
      <c r="DE41" s="69"/>
      <c r="DF41" s="69"/>
      <c r="DG41" s="70"/>
      <c r="DH41" s="70"/>
      <c r="DI41" s="70"/>
      <c r="DJ41" s="177"/>
      <c r="DK41" s="177"/>
      <c r="DL41" s="70"/>
      <c r="DM41" s="70"/>
      <c r="DN41" s="71"/>
      <c r="DO41" s="71"/>
      <c r="DP41" s="180"/>
      <c r="DQ41" s="180"/>
      <c r="DR41" s="71"/>
      <c r="DS41" s="180"/>
      <c r="DT41" s="66"/>
      <c r="DU41" s="79"/>
      <c r="DV41" s="79"/>
      <c r="DW41" s="119"/>
      <c r="DX41" s="79"/>
      <c r="DY41" s="136"/>
      <c r="DZ41" s="168"/>
      <c r="EA41" s="74"/>
      <c r="EB41" s="78">
        <f t="shared" si="8"/>
        <v>-28.176171656641792</v>
      </c>
      <c r="EC41" s="78">
        <f t="shared" si="9"/>
        <v>61.202422135915825</v>
      </c>
      <c r="ED41" s="78">
        <f t="shared" si="10"/>
        <v>-5.752212386182376</v>
      </c>
      <c r="EE41" s="78">
        <f t="shared" si="11"/>
        <v>-62.990931683810956</v>
      </c>
      <c r="EF41" s="79"/>
      <c r="EG41" s="66"/>
      <c r="EH41" s="66"/>
      <c r="EI41" s="66"/>
      <c r="EJ41" s="79"/>
      <c r="EK41" s="66"/>
      <c r="EL41" s="66"/>
      <c r="EM41" s="66"/>
      <c r="EN41" s="66"/>
      <c r="EO41" s="66"/>
      <c r="EP41" s="66"/>
    </row>
    <row r="42" spans="1:146" hidden="1" x14ac:dyDescent="0.3">
      <c r="A42" s="86">
        <v>44539</v>
      </c>
      <c r="B42" s="86"/>
      <c r="C42" s="69">
        <v>162.03</v>
      </c>
      <c r="D42" s="69">
        <v>56.02</v>
      </c>
      <c r="E42" s="69">
        <v>32.51</v>
      </c>
      <c r="F42" s="69">
        <f t="shared" si="0"/>
        <v>106.00999999999999</v>
      </c>
      <c r="G42" s="70">
        <v>46.817</v>
      </c>
      <c r="L42" s="70">
        <v>10.36</v>
      </c>
      <c r="M42" s="70">
        <v>30.303999999999998</v>
      </c>
      <c r="N42" s="71">
        <v>90.103700000000003</v>
      </c>
      <c r="P42" s="71">
        <v>42.165599999999998</v>
      </c>
      <c r="Q42" s="71">
        <v>16.889299999999999</v>
      </c>
      <c r="R42" s="71">
        <v>4.0754999999999999</v>
      </c>
      <c r="S42" s="71">
        <v>24.215800000000002</v>
      </c>
      <c r="T42" s="72"/>
      <c r="U42" s="73"/>
      <c r="V42" s="73"/>
      <c r="W42" s="72"/>
      <c r="X42" s="72"/>
      <c r="Y42" s="72"/>
      <c r="Z42" s="72"/>
      <c r="AA42" s="72"/>
      <c r="AB42" s="72"/>
      <c r="AD42" s="74">
        <v>6.76</v>
      </c>
      <c r="AE42" s="87">
        <v>148.69999999999999</v>
      </c>
      <c r="AF42" s="87">
        <v>47.28</v>
      </c>
      <c r="AG42" s="87">
        <v>19.59</v>
      </c>
      <c r="AH42" s="87">
        <f t="shared" si="7"/>
        <v>101.41999999999999</v>
      </c>
      <c r="AI42" s="70">
        <v>50.793999999999997</v>
      </c>
      <c r="AK42" s="70">
        <v>0.13</v>
      </c>
      <c r="AL42" s="70">
        <v>16.4589</v>
      </c>
      <c r="AM42" s="70">
        <v>7.3266999999999998</v>
      </c>
      <c r="AN42" s="71">
        <v>85.032899999999998</v>
      </c>
      <c r="AO42" s="71">
        <v>46.283700000000003</v>
      </c>
      <c r="AP42" s="71">
        <v>17.5852</v>
      </c>
      <c r="AQ42" s="71">
        <v>3.9582000000000002</v>
      </c>
      <c r="AR42" s="71">
        <v>24.806799999999999</v>
      </c>
      <c r="AS42" s="72"/>
      <c r="AT42" s="75"/>
      <c r="AU42" s="75"/>
      <c r="AV42" s="75"/>
      <c r="AW42" s="75"/>
      <c r="AX42" s="72"/>
      <c r="AY42" s="72"/>
      <c r="AZ42" s="72"/>
      <c r="BA42" s="72"/>
      <c r="BC42" s="74">
        <v>6.51</v>
      </c>
      <c r="BD42" s="88">
        <v>131.63999999999999</v>
      </c>
      <c r="BE42" s="88">
        <v>48.32</v>
      </c>
      <c r="BF42" s="88">
        <v>18.190000000000001</v>
      </c>
      <c r="BG42" s="88">
        <f t="shared" si="13"/>
        <v>83.32</v>
      </c>
      <c r="BH42" s="70">
        <v>51.0535</v>
      </c>
      <c r="BK42" s="70">
        <v>7.2999999999999995E-2</v>
      </c>
      <c r="BM42" s="70">
        <v>13.757300000000001</v>
      </c>
      <c r="BN42" s="70">
        <v>11.587400000000001</v>
      </c>
      <c r="BO42" s="71">
        <v>85.058700000000002</v>
      </c>
      <c r="BQ42" s="71">
        <v>46.924199999999999</v>
      </c>
      <c r="BR42" s="71">
        <v>16.7591</v>
      </c>
      <c r="BS42" s="71">
        <v>4.0498000000000003</v>
      </c>
      <c r="BT42" s="71">
        <v>24.854900000000001</v>
      </c>
      <c r="BU42" s="72"/>
      <c r="BV42" s="72"/>
      <c r="BW42" s="72"/>
      <c r="BX42" s="72"/>
      <c r="BY42" s="72"/>
      <c r="BZ42" s="72"/>
      <c r="CA42" s="72"/>
      <c r="CB42" s="72"/>
      <c r="CD42" s="74">
        <v>6.54</v>
      </c>
      <c r="CE42" s="69"/>
      <c r="CF42" s="69"/>
      <c r="CG42" s="69"/>
      <c r="CH42" s="69"/>
      <c r="CI42" s="76"/>
      <c r="CJ42" s="76"/>
      <c r="CK42" s="177"/>
      <c r="CL42" s="70"/>
      <c r="CM42" s="76"/>
      <c r="CN42" s="77"/>
      <c r="CO42" s="77"/>
      <c r="CP42" s="77"/>
      <c r="CQ42" s="77"/>
      <c r="CR42" s="77"/>
      <c r="CS42" s="66"/>
      <c r="CT42" s="66"/>
      <c r="CU42" s="66"/>
      <c r="CV42" s="66"/>
      <c r="CW42" s="66"/>
      <c r="CX42" s="66"/>
      <c r="CY42" s="66"/>
      <c r="CZ42" s="66"/>
      <c r="DA42" s="168"/>
      <c r="DB42" s="67"/>
      <c r="DC42" s="69"/>
      <c r="DD42" s="69"/>
      <c r="DE42" s="69"/>
      <c r="DF42" s="69"/>
      <c r="DG42" s="70"/>
      <c r="DH42" s="70"/>
      <c r="DI42" s="70"/>
      <c r="DJ42" s="177"/>
      <c r="DK42" s="177"/>
      <c r="DL42" s="70"/>
      <c r="DM42" s="70"/>
      <c r="DN42" s="71"/>
      <c r="DO42" s="71"/>
      <c r="DP42" s="180"/>
      <c r="DQ42" s="180"/>
      <c r="DR42" s="71"/>
      <c r="DS42" s="180"/>
      <c r="DT42" s="66"/>
      <c r="DU42" s="79"/>
      <c r="DV42" s="79"/>
      <c r="DW42" s="119"/>
      <c r="DX42" s="79"/>
      <c r="DY42" s="136"/>
      <c r="DZ42" s="168"/>
      <c r="EA42" s="74"/>
      <c r="EB42" s="78">
        <f t="shared" si="8"/>
        <v>18.755785965561945</v>
      </c>
      <c r="EC42" s="78">
        <f t="shared" si="9"/>
        <v>13.74509103891468</v>
      </c>
      <c r="ED42" s="78">
        <f t="shared" si="10"/>
        <v>44.047985235312204</v>
      </c>
      <c r="EE42" s="78">
        <f t="shared" si="11"/>
        <v>21.403641165927745</v>
      </c>
      <c r="EF42" s="79"/>
      <c r="EG42" s="66"/>
      <c r="EH42" s="66"/>
      <c r="EI42" s="66"/>
      <c r="EJ42" s="79"/>
      <c r="EK42" s="66"/>
      <c r="EL42" s="66"/>
      <c r="EM42" s="66"/>
      <c r="EN42" s="66"/>
      <c r="EO42" s="66"/>
      <c r="EP42" s="66"/>
    </row>
    <row r="43" spans="1:146" hidden="1" x14ac:dyDescent="0.3">
      <c r="A43" s="86">
        <v>44543</v>
      </c>
      <c r="B43" s="86"/>
      <c r="C43" s="69">
        <v>210.19</v>
      </c>
      <c r="D43" s="69">
        <v>61.3</v>
      </c>
      <c r="E43" s="69">
        <v>23.8</v>
      </c>
      <c r="F43" s="69">
        <f t="shared" si="0"/>
        <v>148.88999999999999</v>
      </c>
      <c r="G43" s="70">
        <v>59.279699999999998</v>
      </c>
      <c r="J43" s="70">
        <v>0.2424</v>
      </c>
      <c r="L43" s="70">
        <v>7.2112999999999996</v>
      </c>
      <c r="M43" s="70">
        <v>31.884699999999999</v>
      </c>
      <c r="N43" s="71">
        <v>98.436499999999995</v>
      </c>
      <c r="P43" s="71">
        <v>55.453400000000002</v>
      </c>
      <c r="Q43" s="71">
        <v>18.377300000000002</v>
      </c>
      <c r="R43" s="71">
        <v>4.3699000000000003</v>
      </c>
      <c r="S43" s="71">
        <v>23.628299999999999</v>
      </c>
      <c r="T43" s="72"/>
      <c r="U43" s="73"/>
      <c r="V43" s="73"/>
      <c r="W43" s="72"/>
      <c r="X43" s="72"/>
      <c r="Y43" s="72"/>
      <c r="Z43" s="72"/>
      <c r="AA43" s="72"/>
      <c r="AB43" s="72"/>
      <c r="AD43" s="74">
        <v>7.16</v>
      </c>
      <c r="AE43" s="87">
        <v>170.26</v>
      </c>
      <c r="AF43" s="87">
        <v>45.79</v>
      </c>
      <c r="AG43" s="87">
        <v>21.38</v>
      </c>
      <c r="AH43" s="87">
        <f t="shared" si="7"/>
        <v>124.47</v>
      </c>
      <c r="AI43" s="70">
        <v>50.387599999999999</v>
      </c>
      <c r="AK43" s="70">
        <v>0.10009999999999999</v>
      </c>
      <c r="AL43" s="70">
        <v>17.471599999999999</v>
      </c>
      <c r="AM43" s="70">
        <v>1.4731000000000001</v>
      </c>
      <c r="AN43" s="71">
        <v>95.700800000000001</v>
      </c>
      <c r="AO43" s="71">
        <v>46.725499999999997</v>
      </c>
      <c r="AP43" s="71">
        <v>15.553699999999999</v>
      </c>
      <c r="AQ43" s="71">
        <v>4.2230999999999996</v>
      </c>
      <c r="AR43" s="71">
        <v>24.278600000000001</v>
      </c>
      <c r="AS43" s="72"/>
      <c r="AT43" s="75"/>
      <c r="AU43" s="75"/>
      <c r="AV43" s="75"/>
      <c r="AW43" s="75"/>
      <c r="AX43" s="72"/>
      <c r="AY43" s="72"/>
      <c r="AZ43" s="72"/>
      <c r="BA43" s="72"/>
      <c r="BC43" s="74">
        <v>6.29</v>
      </c>
      <c r="BD43" s="88">
        <v>161.43</v>
      </c>
      <c r="BE43" s="88">
        <v>47.18</v>
      </c>
      <c r="BF43" s="88">
        <v>20.190000000000001</v>
      </c>
      <c r="BG43" s="88">
        <f t="shared" si="13"/>
        <v>114.25</v>
      </c>
      <c r="BH43" s="70">
        <v>50.683700000000002</v>
      </c>
      <c r="BK43" s="70">
        <v>0.71789999999999998</v>
      </c>
      <c r="BM43" s="70">
        <v>8.8694000000000006</v>
      </c>
      <c r="BN43" s="70">
        <v>3.8673999999999999</v>
      </c>
      <c r="BO43" s="71">
        <v>66.071200000000005</v>
      </c>
      <c r="BQ43" s="71">
        <v>47.534799999999997</v>
      </c>
      <c r="BR43" s="71">
        <v>17.686399999999999</v>
      </c>
      <c r="BS43" s="71">
        <v>4.0328999999999997</v>
      </c>
      <c r="BT43" s="71">
        <v>24.5258</v>
      </c>
      <c r="BU43" s="72"/>
      <c r="BV43" s="72"/>
      <c r="BW43" s="72"/>
      <c r="BX43" s="72"/>
      <c r="BY43" s="72"/>
      <c r="BZ43" s="72"/>
      <c r="CA43" s="72"/>
      <c r="CB43" s="72"/>
      <c r="CD43" s="74">
        <v>6.34</v>
      </c>
      <c r="CE43" s="69"/>
      <c r="CF43" s="69"/>
      <c r="CG43" s="69"/>
      <c r="CH43" s="69"/>
      <c r="CI43" s="76"/>
      <c r="CJ43" s="76"/>
      <c r="CK43" s="177"/>
      <c r="CL43" s="70"/>
      <c r="CM43" s="76"/>
      <c r="CN43" s="77"/>
      <c r="CO43" s="77"/>
      <c r="CP43" s="77"/>
      <c r="CQ43" s="77"/>
      <c r="CR43" s="77"/>
      <c r="CS43" s="66"/>
      <c r="CT43" s="66"/>
      <c r="CU43" s="66"/>
      <c r="CV43" s="66"/>
      <c r="CW43" s="66"/>
      <c r="CX43" s="66"/>
      <c r="CY43" s="66"/>
      <c r="CZ43" s="66"/>
      <c r="DA43" s="168"/>
      <c r="DB43" s="67"/>
      <c r="DC43" s="69"/>
      <c r="DD43" s="69"/>
      <c r="DE43" s="69"/>
      <c r="DF43" s="69"/>
      <c r="DG43" s="70"/>
      <c r="DH43" s="70"/>
      <c r="DI43" s="70"/>
      <c r="DJ43" s="177"/>
      <c r="DK43" s="177"/>
      <c r="DL43" s="70"/>
      <c r="DM43" s="70"/>
      <c r="DN43" s="71"/>
      <c r="DO43" s="71"/>
      <c r="DP43" s="180"/>
      <c r="DQ43" s="180"/>
      <c r="DR43" s="71"/>
      <c r="DS43" s="180"/>
      <c r="DT43" s="66"/>
      <c r="DU43" s="79"/>
      <c r="DV43" s="79"/>
      <c r="DW43" s="119"/>
      <c r="DX43" s="79"/>
      <c r="DY43" s="136"/>
      <c r="DZ43" s="168"/>
      <c r="EA43" s="74"/>
      <c r="EB43" s="78">
        <f t="shared" si="8"/>
        <v>23.19805889909129</v>
      </c>
      <c r="EC43" s="78">
        <f t="shared" si="9"/>
        <v>23.034257748776511</v>
      </c>
      <c r="ED43" s="78">
        <f t="shared" si="10"/>
        <v>15.168067226890757</v>
      </c>
      <c r="EE43" s="78">
        <f t="shared" si="11"/>
        <v>23.265498018671494</v>
      </c>
      <c r="EF43" s="79"/>
      <c r="EG43" s="66"/>
      <c r="EH43" s="66"/>
      <c r="EI43" s="66"/>
      <c r="EJ43" s="79"/>
      <c r="EK43" s="66"/>
      <c r="EL43" s="66"/>
      <c r="EM43" s="66"/>
      <c r="EN43" s="66"/>
      <c r="EO43" s="66"/>
      <c r="EP43" s="66"/>
    </row>
    <row r="44" spans="1:146" hidden="1" x14ac:dyDescent="0.3">
      <c r="A44" s="86">
        <v>44545</v>
      </c>
      <c r="B44" s="86"/>
      <c r="C44" s="69">
        <v>116.15</v>
      </c>
      <c r="D44" s="69">
        <v>69.55</v>
      </c>
      <c r="E44" s="69">
        <v>31.81</v>
      </c>
      <c r="F44" s="69">
        <f t="shared" si="0"/>
        <v>46.600000000000009</v>
      </c>
      <c r="G44" s="70">
        <v>55.086500000000001</v>
      </c>
      <c r="J44" s="70">
        <v>9.0800000000000006E-2</v>
      </c>
      <c r="L44" s="70">
        <v>8.0646000000000004</v>
      </c>
      <c r="M44" s="70">
        <v>43.7849</v>
      </c>
      <c r="N44" s="71">
        <v>107.53789999999999</v>
      </c>
      <c r="P44" s="71">
        <v>51.680300000000003</v>
      </c>
      <c r="Q44" s="71">
        <v>21.9298</v>
      </c>
      <c r="R44" s="71">
        <v>4.5053999999999998</v>
      </c>
      <c r="S44" s="71">
        <v>24.723199999999999</v>
      </c>
      <c r="T44" s="72"/>
      <c r="U44" s="73"/>
      <c r="V44" s="73"/>
      <c r="W44" s="72"/>
      <c r="X44" s="72"/>
      <c r="Y44" s="72"/>
      <c r="Z44" s="72"/>
      <c r="AA44" s="72"/>
      <c r="AB44" s="72"/>
      <c r="AE44" s="87">
        <v>103.45</v>
      </c>
      <c r="AF44" s="87">
        <v>45.844999999999999</v>
      </c>
      <c r="AG44" s="87">
        <v>25.754999999999999</v>
      </c>
      <c r="AH44" s="87">
        <f t="shared" si="7"/>
        <v>57.605000000000004</v>
      </c>
      <c r="AI44" s="70">
        <v>61.812899999999999</v>
      </c>
      <c r="AL44" s="70">
        <v>16.604099999999999</v>
      </c>
      <c r="AM44" s="70">
        <v>1.6144000000000001</v>
      </c>
      <c r="AN44" s="71">
        <v>91.954700000000003</v>
      </c>
      <c r="AO44" s="71">
        <v>50.076099999999997</v>
      </c>
      <c r="AP44" s="71">
        <v>26.187200000000001</v>
      </c>
      <c r="AQ44" s="71">
        <v>4.125</v>
      </c>
      <c r="AR44" s="71">
        <v>24.392600000000002</v>
      </c>
      <c r="AS44" s="72"/>
      <c r="AT44" s="75"/>
      <c r="AU44" s="75"/>
      <c r="AV44" s="75"/>
      <c r="AW44" s="75"/>
      <c r="AX44" s="72"/>
      <c r="AY44" s="72"/>
      <c r="AZ44" s="72"/>
      <c r="BA44" s="72"/>
      <c r="BD44" s="88">
        <v>98.85</v>
      </c>
      <c r="BE44" s="88">
        <v>46.015000000000001</v>
      </c>
      <c r="BF44" s="88">
        <v>26.21</v>
      </c>
      <c r="BG44" s="88">
        <f t="shared" si="13"/>
        <v>52.834999999999994</v>
      </c>
      <c r="BH44" s="70">
        <v>59.879899999999999</v>
      </c>
      <c r="BM44" s="70">
        <v>16.908799999999999</v>
      </c>
      <c r="BN44" s="70">
        <v>1.9378</v>
      </c>
      <c r="BO44" s="71">
        <v>92.358900000000006</v>
      </c>
      <c r="BQ44" s="71">
        <v>50.165599999999998</v>
      </c>
      <c r="BR44" s="71">
        <v>23.722000000000001</v>
      </c>
      <c r="BS44" s="71">
        <v>4.1509</v>
      </c>
      <c r="BT44" s="71">
        <v>24.667899999999999</v>
      </c>
      <c r="BU44" s="72"/>
      <c r="BV44" s="72"/>
      <c r="BW44" s="72"/>
      <c r="BX44" s="72"/>
      <c r="BY44" s="72"/>
      <c r="BZ44" s="72"/>
      <c r="CA44" s="72"/>
      <c r="CB44" s="72"/>
      <c r="CE44" s="69"/>
      <c r="CF44" s="69"/>
      <c r="CG44" s="69"/>
      <c r="CH44" s="69"/>
      <c r="CI44" s="76"/>
      <c r="CJ44" s="76"/>
      <c r="CK44" s="177"/>
      <c r="CL44" s="70"/>
      <c r="CM44" s="76"/>
      <c r="CN44" s="77"/>
      <c r="CO44" s="77"/>
      <c r="CP44" s="77"/>
      <c r="CQ44" s="77"/>
      <c r="CR44" s="77"/>
      <c r="CS44" s="66"/>
      <c r="CT44" s="66"/>
      <c r="CU44" s="66"/>
      <c r="CV44" s="66"/>
      <c r="CW44" s="66"/>
      <c r="CX44" s="66"/>
      <c r="CY44" s="66"/>
      <c r="CZ44" s="66"/>
      <c r="DA44" s="168"/>
      <c r="DB44" s="67"/>
      <c r="DC44" s="69"/>
      <c r="DD44" s="69"/>
      <c r="DE44" s="69"/>
      <c r="DF44" s="69"/>
      <c r="DG44" s="70"/>
      <c r="DH44" s="70"/>
      <c r="DI44" s="70"/>
      <c r="DJ44" s="177"/>
      <c r="DK44" s="177"/>
      <c r="DL44" s="70"/>
      <c r="DM44" s="70"/>
      <c r="DN44" s="71"/>
      <c r="DO44" s="71"/>
      <c r="DP44" s="180"/>
      <c r="DQ44" s="180"/>
      <c r="DR44" s="71"/>
      <c r="DS44" s="180"/>
      <c r="DT44" s="66"/>
      <c r="DU44" s="79"/>
      <c r="DV44" s="79"/>
      <c r="DW44" s="119"/>
      <c r="DX44" s="79"/>
      <c r="DY44" s="136"/>
      <c r="DZ44" s="168"/>
      <c r="EA44" s="74"/>
      <c r="EB44" s="78">
        <f t="shared" si="8"/>
        <v>14.894532931554039</v>
      </c>
      <c r="EC44" s="78">
        <f t="shared" si="9"/>
        <v>33.838964773544213</v>
      </c>
      <c r="ED44" s="78">
        <f t="shared" si="10"/>
        <v>17.604526878340142</v>
      </c>
      <c r="EE44" s="78">
        <f t="shared" si="11"/>
        <v>-13.379828326180231</v>
      </c>
      <c r="EF44" s="79"/>
      <c r="EG44" s="66"/>
      <c r="EH44" s="66"/>
      <c r="EI44" s="66"/>
      <c r="EJ44" s="79"/>
      <c r="EK44" s="66"/>
      <c r="EL44" s="66"/>
      <c r="EM44" s="66"/>
      <c r="EN44" s="66"/>
      <c r="EO44" s="66"/>
      <c r="EP44" s="66"/>
    </row>
    <row r="45" spans="1:146" hidden="1" x14ac:dyDescent="0.3">
      <c r="A45" s="89">
        <v>44550</v>
      </c>
      <c r="B45" s="89"/>
      <c r="C45" s="69">
        <v>103.55</v>
      </c>
      <c r="D45" s="69">
        <v>53.6</v>
      </c>
      <c r="E45" s="69">
        <v>27.905000000000001</v>
      </c>
      <c r="F45" s="69">
        <f t="shared" si="0"/>
        <v>49.949999999999996</v>
      </c>
      <c r="G45" s="70">
        <v>49.543199999999999</v>
      </c>
      <c r="L45" s="70">
        <v>7.0898000000000003</v>
      </c>
      <c r="M45" s="70">
        <v>34.375599999999999</v>
      </c>
      <c r="N45" s="71">
        <v>100.875</v>
      </c>
      <c r="P45" s="71">
        <v>45.601199999999999</v>
      </c>
      <c r="Q45" s="71">
        <v>19.773399999999999</v>
      </c>
      <c r="R45" s="71">
        <v>4.3975</v>
      </c>
      <c r="S45" s="71">
        <v>22.8611</v>
      </c>
      <c r="T45" s="72"/>
      <c r="U45" s="73"/>
      <c r="V45" s="73"/>
      <c r="W45" s="72"/>
      <c r="X45" s="72"/>
      <c r="Y45" s="72"/>
      <c r="Z45" s="72"/>
      <c r="AA45" s="72"/>
      <c r="AB45" s="72"/>
      <c r="AD45" s="74">
        <v>7.07</v>
      </c>
      <c r="AE45" s="87">
        <v>95.1</v>
      </c>
      <c r="AF45" s="87">
        <v>51.7</v>
      </c>
      <c r="AG45" s="87">
        <v>27.125</v>
      </c>
      <c r="AH45" s="87">
        <f t="shared" si="7"/>
        <v>43.399999999999991</v>
      </c>
      <c r="AI45" s="70">
        <v>54.905900000000003</v>
      </c>
      <c r="AK45" s="70">
        <v>8.5699999999999998E-2</v>
      </c>
      <c r="AL45" s="70">
        <v>14.1578</v>
      </c>
      <c r="AM45" s="70">
        <v>5.2769000000000004</v>
      </c>
      <c r="AN45" s="71">
        <v>89.017499999999998</v>
      </c>
      <c r="AO45" s="71">
        <v>46.465600000000002</v>
      </c>
      <c r="AP45" s="71">
        <v>25.167100000000001</v>
      </c>
      <c r="AQ45" s="71">
        <v>4.1298000000000004</v>
      </c>
      <c r="AR45" s="71">
        <v>20.0703</v>
      </c>
      <c r="AS45" s="72"/>
      <c r="AT45" s="75"/>
      <c r="AU45" s="75"/>
      <c r="AV45" s="75"/>
      <c r="AW45" s="75"/>
      <c r="AX45" s="72"/>
      <c r="AY45" s="72"/>
      <c r="AZ45" s="72"/>
      <c r="BA45" s="72"/>
      <c r="BC45" s="74">
        <v>6.76</v>
      </c>
      <c r="BD45" s="88">
        <v>87.55</v>
      </c>
      <c r="BE45" s="88">
        <v>52.15</v>
      </c>
      <c r="BF45" s="88">
        <v>25.32</v>
      </c>
      <c r="BG45" s="88">
        <f t="shared" si="13"/>
        <v>35.4</v>
      </c>
      <c r="BH45" s="70">
        <v>49.654899999999998</v>
      </c>
      <c r="BK45" s="70">
        <v>0.17749999999999999</v>
      </c>
      <c r="BM45" s="70">
        <v>12.725199999999999</v>
      </c>
      <c r="BN45" s="70">
        <v>7.0914999999999999</v>
      </c>
      <c r="BO45" s="71">
        <v>89.629000000000005</v>
      </c>
      <c r="BQ45" s="71">
        <v>46.372100000000003</v>
      </c>
      <c r="BR45" s="71">
        <v>17.9742</v>
      </c>
      <c r="BS45" s="71">
        <v>4.0819999999999999</v>
      </c>
      <c r="BT45" s="71">
        <v>20.477799999999998</v>
      </c>
      <c r="BU45" s="72"/>
      <c r="BV45" s="72"/>
      <c r="BW45" s="72"/>
      <c r="BX45" s="72"/>
      <c r="BY45" s="72"/>
      <c r="BZ45" s="72"/>
      <c r="CA45" s="72"/>
      <c r="CB45" s="72"/>
      <c r="CD45" s="74">
        <v>6.81</v>
      </c>
      <c r="CE45" s="69"/>
      <c r="CF45" s="69"/>
      <c r="CG45" s="69"/>
      <c r="CH45" s="69"/>
      <c r="CI45" s="76"/>
      <c r="CJ45" s="76"/>
      <c r="CK45" s="177"/>
      <c r="CL45" s="70"/>
      <c r="CM45" s="76"/>
      <c r="CN45" s="77"/>
      <c r="CO45" s="77"/>
      <c r="CP45" s="77"/>
      <c r="CQ45" s="77"/>
      <c r="CR45" s="77"/>
      <c r="CS45" s="66"/>
      <c r="CT45" s="66"/>
      <c r="CU45" s="66"/>
      <c r="CV45" s="66"/>
      <c r="CW45" s="66"/>
      <c r="CX45" s="66"/>
      <c r="CY45" s="66"/>
      <c r="CZ45" s="66"/>
      <c r="DA45" s="168"/>
      <c r="DB45" s="67"/>
      <c r="DC45" s="69"/>
      <c r="DD45" s="69"/>
      <c r="DE45" s="69"/>
      <c r="DF45" s="69"/>
      <c r="DG45" s="70"/>
      <c r="DH45" s="70"/>
      <c r="DI45" s="70"/>
      <c r="DJ45" s="177"/>
      <c r="DK45" s="177"/>
      <c r="DL45" s="70"/>
      <c r="DM45" s="70"/>
      <c r="DN45" s="71"/>
      <c r="DO45" s="71"/>
      <c r="DP45" s="180"/>
      <c r="DQ45" s="180"/>
      <c r="DR45" s="71"/>
      <c r="DS45" s="180"/>
      <c r="DT45" s="66"/>
      <c r="DU45" s="79"/>
      <c r="DV45" s="79"/>
      <c r="DW45" s="119"/>
      <c r="DX45" s="79"/>
      <c r="DY45" s="136"/>
      <c r="DZ45" s="168"/>
      <c r="EA45" s="74"/>
      <c r="EB45" s="78">
        <f t="shared" si="8"/>
        <v>15.451472718493486</v>
      </c>
      <c r="EC45" s="78">
        <f t="shared" si="9"/>
        <v>2.7052238805970186</v>
      </c>
      <c r="ED45" s="78">
        <f t="shared" si="10"/>
        <v>9.2635728364092511</v>
      </c>
      <c r="EE45" s="78">
        <f t="shared" si="11"/>
        <v>29.129129129129126</v>
      </c>
      <c r="EF45" s="79"/>
      <c r="EG45" s="66"/>
      <c r="EH45" s="66"/>
      <c r="EI45" s="201"/>
      <c r="EJ45" s="201"/>
      <c r="EK45" s="201"/>
      <c r="EL45" s="66"/>
      <c r="EM45" s="66"/>
      <c r="EN45" s="66"/>
      <c r="EO45" s="66"/>
      <c r="EP45" s="66"/>
    </row>
    <row r="46" spans="1:146" hidden="1" x14ac:dyDescent="0.3">
      <c r="A46" s="89">
        <v>44552</v>
      </c>
      <c r="B46" s="89"/>
      <c r="C46" s="69">
        <v>131.6</v>
      </c>
      <c r="D46" s="69">
        <v>59.25</v>
      </c>
      <c r="E46" s="69">
        <v>30.81</v>
      </c>
      <c r="F46" s="69">
        <f t="shared" si="0"/>
        <v>72.349999999999994</v>
      </c>
      <c r="G46" s="70">
        <v>62.058500000000002</v>
      </c>
      <c r="H46" s="70">
        <v>0.15670000000000001</v>
      </c>
      <c r="J46" s="70">
        <v>0.2266</v>
      </c>
      <c r="L46" s="70">
        <v>6.0869</v>
      </c>
      <c r="M46" s="70">
        <v>30.9316</v>
      </c>
      <c r="N46" s="71">
        <v>85.695899999999995</v>
      </c>
      <c r="P46" s="71">
        <v>56.326700000000002</v>
      </c>
      <c r="Q46" s="71">
        <v>26.6096</v>
      </c>
      <c r="R46" s="71">
        <v>4.2507000000000001</v>
      </c>
      <c r="S46" s="71">
        <v>22.2273</v>
      </c>
      <c r="T46" s="72"/>
      <c r="U46" s="73"/>
      <c r="V46" s="73"/>
      <c r="W46" s="72"/>
      <c r="X46" s="72"/>
      <c r="Y46" s="72"/>
      <c r="Z46" s="72"/>
      <c r="AA46" s="72"/>
      <c r="AB46" s="72"/>
      <c r="AD46" s="74">
        <v>7.61</v>
      </c>
      <c r="AE46" s="87">
        <v>122.9</v>
      </c>
      <c r="AF46" s="87">
        <v>40.14</v>
      </c>
      <c r="AG46" s="87">
        <v>26.29</v>
      </c>
      <c r="AH46" s="87">
        <f t="shared" si="7"/>
        <v>82.76</v>
      </c>
      <c r="AI46" s="70">
        <v>57.1233</v>
      </c>
      <c r="AK46" s="70">
        <v>0.2908</v>
      </c>
      <c r="AL46" s="70">
        <v>14.404999999999999</v>
      </c>
      <c r="AM46" s="70">
        <v>3.5617999999999999</v>
      </c>
      <c r="AN46" s="71">
        <v>90.520200000000003</v>
      </c>
      <c r="AO46" s="71">
        <v>51.335900000000002</v>
      </c>
      <c r="AP46" s="71">
        <v>21.411200000000001</v>
      </c>
      <c r="AQ46" s="71">
        <v>4.1896000000000004</v>
      </c>
      <c r="AR46" s="71">
        <v>25.391200000000001</v>
      </c>
      <c r="AS46" s="72"/>
      <c r="AT46" s="75"/>
      <c r="AU46" s="75"/>
      <c r="AV46" s="75"/>
      <c r="AW46" s="75"/>
      <c r="AX46" s="72"/>
      <c r="AY46" s="72"/>
      <c r="AZ46" s="72"/>
      <c r="BA46" s="72"/>
      <c r="BC46" s="74">
        <v>6.41</v>
      </c>
      <c r="BD46" s="88">
        <v>125.1</v>
      </c>
      <c r="BE46" s="88">
        <v>39.244999999999997</v>
      </c>
      <c r="BF46" s="88">
        <v>26.975000000000001</v>
      </c>
      <c r="BG46" s="88">
        <f t="shared" si="13"/>
        <v>85.85499999999999</v>
      </c>
      <c r="BH46" s="70">
        <v>57.480899999999998</v>
      </c>
      <c r="BK46" s="70">
        <v>9.5200000000000007E-2</v>
      </c>
      <c r="BM46" s="70">
        <v>14.0497</v>
      </c>
      <c r="BN46" s="70">
        <v>7.3379000000000003</v>
      </c>
      <c r="BO46" s="71">
        <v>88.213700000000003</v>
      </c>
      <c r="BQ46" s="71">
        <v>51.223700000000001</v>
      </c>
      <c r="BR46" s="71">
        <v>21.783999999999999</v>
      </c>
      <c r="BS46" s="71">
        <v>4.1216999999999997</v>
      </c>
      <c r="BT46" s="71">
        <v>24.157499999999999</v>
      </c>
      <c r="BU46" s="72"/>
      <c r="BV46" s="72"/>
      <c r="BW46" s="72"/>
      <c r="BX46" s="72"/>
      <c r="BY46" s="72"/>
      <c r="BZ46" s="72"/>
      <c r="CA46" s="72"/>
      <c r="CB46" s="72"/>
      <c r="CD46" s="74">
        <v>6.39</v>
      </c>
      <c r="CE46" s="69"/>
      <c r="CF46" s="69"/>
      <c r="CG46" s="69"/>
      <c r="CH46" s="69"/>
      <c r="CI46" s="76"/>
      <c r="CJ46" s="76"/>
      <c r="CK46" s="177"/>
      <c r="CL46" s="70"/>
      <c r="CM46" s="76"/>
      <c r="CN46" s="77"/>
      <c r="CO46" s="77"/>
      <c r="CP46" s="77"/>
      <c r="CQ46" s="77"/>
      <c r="CR46" s="77"/>
      <c r="CS46" s="66"/>
      <c r="CT46" s="66"/>
      <c r="CU46" s="66"/>
      <c r="CV46" s="66"/>
      <c r="CW46" s="66"/>
      <c r="CX46" s="66"/>
      <c r="CY46" s="66"/>
      <c r="CZ46" s="66"/>
      <c r="DA46" s="168"/>
      <c r="DB46" s="67"/>
      <c r="DC46" s="69"/>
      <c r="DD46" s="69"/>
      <c r="DE46" s="69"/>
      <c r="DF46" s="69"/>
      <c r="DG46" s="70"/>
      <c r="DH46" s="70"/>
      <c r="DI46" s="70"/>
      <c r="DJ46" s="177"/>
      <c r="DK46" s="177"/>
      <c r="DL46" s="70"/>
      <c r="DM46" s="70"/>
      <c r="DN46" s="71"/>
      <c r="DO46" s="71"/>
      <c r="DP46" s="180"/>
      <c r="DQ46" s="180"/>
      <c r="DR46" s="71"/>
      <c r="DS46" s="180"/>
      <c r="DT46" s="66"/>
      <c r="DU46" s="79"/>
      <c r="DV46" s="79"/>
      <c r="DW46" s="119"/>
      <c r="DX46" s="79"/>
      <c r="DY46" s="136"/>
      <c r="DZ46" s="168"/>
      <c r="EA46" s="74"/>
      <c r="EB46" s="78">
        <f t="shared" si="8"/>
        <v>4.9392097264437718</v>
      </c>
      <c r="EC46" s="78">
        <f t="shared" si="9"/>
        <v>33.763713080168777</v>
      </c>
      <c r="ED46" s="78">
        <f t="shared" si="10"/>
        <v>12.447257383966237</v>
      </c>
      <c r="EE46" s="78">
        <f t="shared" si="11"/>
        <v>-18.666205943331015</v>
      </c>
      <c r="EF46" s="79"/>
      <c r="EG46" s="66"/>
      <c r="EH46" s="66"/>
      <c r="EI46" s="66"/>
      <c r="EJ46" s="79"/>
      <c r="EK46" s="66"/>
      <c r="EL46" s="66"/>
      <c r="EM46" s="66"/>
      <c r="EN46" s="66"/>
      <c r="EO46" s="66"/>
      <c r="EP46" s="66"/>
    </row>
    <row r="47" spans="1:146" hidden="1" x14ac:dyDescent="0.3">
      <c r="A47" s="86">
        <v>44558</v>
      </c>
      <c r="B47" s="86"/>
      <c r="C47" s="90">
        <v>118.65</v>
      </c>
      <c r="D47" s="90">
        <v>61</v>
      </c>
      <c r="E47" s="90">
        <v>31.53</v>
      </c>
      <c r="F47" s="69">
        <f t="shared" si="0"/>
        <v>57.650000000000006</v>
      </c>
      <c r="G47" s="70">
        <v>61.8887</v>
      </c>
      <c r="L47" s="70">
        <v>8.8002000000000002</v>
      </c>
      <c r="M47" s="70">
        <v>32.728700000000003</v>
      </c>
      <c r="N47" s="71">
        <v>85.489699999999999</v>
      </c>
      <c r="P47" s="71">
        <v>53.4724</v>
      </c>
      <c r="Q47" s="71">
        <v>24.886900000000001</v>
      </c>
      <c r="R47" s="71">
        <v>5.7049000000000003</v>
      </c>
      <c r="S47" s="71">
        <v>27.610299999999999</v>
      </c>
      <c r="T47" s="72"/>
      <c r="U47" s="73">
        <v>1079</v>
      </c>
      <c r="V47" s="73"/>
      <c r="W47" s="72"/>
      <c r="X47" s="73"/>
      <c r="Y47" s="73"/>
      <c r="Z47" s="73"/>
      <c r="AA47" s="73"/>
      <c r="AB47" s="73"/>
      <c r="AD47" s="74">
        <v>6.79</v>
      </c>
      <c r="AE47" s="91">
        <v>129.19999999999999</v>
      </c>
      <c r="AF47" s="91">
        <v>60.4</v>
      </c>
      <c r="AG47" s="91">
        <v>32.29</v>
      </c>
      <c r="AH47" s="87">
        <f t="shared" si="7"/>
        <v>68.799999999999983</v>
      </c>
      <c r="AI47" s="70">
        <v>61.842100000000002</v>
      </c>
      <c r="AL47" s="70">
        <v>26.086400000000001</v>
      </c>
      <c r="AM47" s="70">
        <v>1.72</v>
      </c>
      <c r="AN47" s="71">
        <v>96.033900000000003</v>
      </c>
      <c r="AO47" s="71">
        <v>51.239199999999997</v>
      </c>
      <c r="AP47" s="71">
        <v>30.689499999999999</v>
      </c>
      <c r="AQ47" s="71">
        <v>5.8226000000000004</v>
      </c>
      <c r="AR47" s="71">
        <v>25.253599999999999</v>
      </c>
      <c r="AS47" s="72"/>
      <c r="AT47" s="75">
        <v>1690</v>
      </c>
      <c r="AU47" s="75"/>
      <c r="AV47" s="75"/>
      <c r="AW47" s="75"/>
      <c r="AX47" s="73"/>
      <c r="AY47" s="73"/>
      <c r="AZ47" s="73"/>
      <c r="BA47" s="73"/>
      <c r="BB47" s="172"/>
      <c r="BC47" s="74">
        <v>6.8</v>
      </c>
      <c r="BD47" s="92">
        <v>128.35</v>
      </c>
      <c r="BE47" s="92">
        <v>60.35</v>
      </c>
      <c r="BF47" s="92">
        <v>32.774999999999999</v>
      </c>
      <c r="BG47" s="88">
        <f t="shared" si="13"/>
        <v>68</v>
      </c>
      <c r="BH47" s="70">
        <v>61.694499999999998</v>
      </c>
      <c r="BM47" s="70">
        <v>25.663699999999999</v>
      </c>
      <c r="BN47" s="70">
        <v>1.4887999999999999</v>
      </c>
      <c r="BO47" s="71">
        <v>94.781199999999998</v>
      </c>
      <c r="BQ47" s="71">
        <v>51.094799999999999</v>
      </c>
      <c r="BR47" s="71">
        <v>31.285</v>
      </c>
      <c r="BS47" s="71">
        <v>5.6196999999999999</v>
      </c>
      <c r="BT47" s="71">
        <v>24.627199999999998</v>
      </c>
      <c r="BU47" s="72"/>
      <c r="BV47" s="73">
        <v>1178</v>
      </c>
      <c r="BW47" s="73"/>
      <c r="BX47" s="73"/>
      <c r="BY47" s="73"/>
      <c r="BZ47" s="73"/>
      <c r="CA47" s="73"/>
      <c r="CB47" s="73"/>
      <c r="CD47" s="74">
        <v>6.76</v>
      </c>
      <c r="CE47" s="69"/>
      <c r="CF47" s="69"/>
      <c r="CG47" s="69"/>
      <c r="CH47" s="69"/>
      <c r="CI47" s="76"/>
      <c r="CJ47" s="76"/>
      <c r="CK47" s="177"/>
      <c r="CL47" s="70"/>
      <c r="CM47" s="76"/>
      <c r="CN47" s="77"/>
      <c r="CO47" s="77"/>
      <c r="CP47" s="77"/>
      <c r="CQ47" s="77"/>
      <c r="CR47" s="77"/>
      <c r="CS47" s="66"/>
      <c r="CT47" s="66"/>
      <c r="CU47" s="66"/>
      <c r="CV47" s="66"/>
      <c r="CW47" s="66"/>
      <c r="CX47" s="66"/>
      <c r="CY47" s="66"/>
      <c r="CZ47" s="66"/>
      <c r="DA47" s="168"/>
      <c r="DB47" s="67"/>
      <c r="DC47" s="69"/>
      <c r="DD47" s="69"/>
      <c r="DE47" s="69"/>
      <c r="DF47" s="69"/>
      <c r="DG47" s="70"/>
      <c r="DH47" s="70"/>
      <c r="DI47" s="70"/>
      <c r="DJ47" s="177"/>
      <c r="DK47" s="177"/>
      <c r="DL47" s="70"/>
      <c r="DM47" s="70"/>
      <c r="DN47" s="71"/>
      <c r="DO47" s="71"/>
      <c r="DP47" s="180"/>
      <c r="DQ47" s="180"/>
      <c r="DR47" s="71"/>
      <c r="DS47" s="180"/>
      <c r="DT47" s="66"/>
      <c r="DU47" s="79"/>
      <c r="DV47" s="79"/>
      <c r="DW47" s="119"/>
      <c r="DX47" s="79"/>
      <c r="DY47" s="136"/>
      <c r="DZ47" s="168"/>
      <c r="EA47" s="74"/>
      <c r="EB47" s="78">
        <f t="shared" si="8"/>
        <v>-8.1753055204382576</v>
      </c>
      <c r="EC47" s="78">
        <f t="shared" si="9"/>
        <v>1.0655737704918011</v>
      </c>
      <c r="ED47" s="78">
        <f t="shared" si="10"/>
        <v>-3.9486203615604065</v>
      </c>
      <c r="EE47" s="78">
        <f t="shared" si="11"/>
        <v>-17.953165654813507</v>
      </c>
      <c r="EF47" s="79"/>
      <c r="EG47" s="66"/>
      <c r="EH47" s="138"/>
      <c r="EI47" s="139"/>
      <c r="EJ47" s="79"/>
      <c r="EK47" s="139"/>
      <c r="EL47" s="66"/>
      <c r="EM47" s="66"/>
      <c r="EN47" s="66"/>
      <c r="EO47" s="66"/>
      <c r="EP47" s="66"/>
    </row>
    <row r="48" spans="1:146" hidden="1" x14ac:dyDescent="0.3">
      <c r="A48" s="86">
        <v>44564</v>
      </c>
      <c r="B48" s="86"/>
      <c r="C48" s="90">
        <v>165.75</v>
      </c>
      <c r="D48" s="90">
        <v>59.95</v>
      </c>
      <c r="E48" s="90">
        <v>32.085000000000001</v>
      </c>
      <c r="F48" s="69">
        <f t="shared" si="0"/>
        <v>105.8</v>
      </c>
      <c r="G48" s="70">
        <v>56.580100000000002</v>
      </c>
      <c r="H48" s="70">
        <v>0.20219999999999999</v>
      </c>
      <c r="J48" s="70">
        <v>0.44009999999999999</v>
      </c>
      <c r="L48" s="70">
        <v>11.7363</v>
      </c>
      <c r="M48" s="70">
        <v>32.655000000000001</v>
      </c>
      <c r="N48" s="71">
        <v>81.882000000000005</v>
      </c>
      <c r="P48" s="71">
        <v>50.448500000000003</v>
      </c>
      <c r="Q48" s="71">
        <v>7.8373999999999997</v>
      </c>
      <c r="R48" s="71">
        <v>5.6677999999999997</v>
      </c>
      <c r="S48" s="71">
        <v>24.124300000000002</v>
      </c>
      <c r="T48" s="72"/>
      <c r="U48" s="73"/>
      <c r="V48" s="73"/>
      <c r="W48" s="72"/>
      <c r="X48" s="72"/>
      <c r="Y48" s="72"/>
      <c r="Z48" s="72"/>
      <c r="AA48" s="72"/>
      <c r="AB48" s="72"/>
      <c r="AD48" s="74">
        <v>7.68</v>
      </c>
      <c r="AE48" s="91">
        <v>157.15</v>
      </c>
      <c r="AF48" s="91">
        <v>60.15</v>
      </c>
      <c r="AG48" s="91">
        <v>36.06</v>
      </c>
      <c r="AH48" s="87">
        <f t="shared" si="7"/>
        <v>97</v>
      </c>
      <c r="AI48" s="70">
        <v>63.010599999999997</v>
      </c>
      <c r="AJ48" s="70">
        <v>6.0600000000000001E-2</v>
      </c>
      <c r="AK48" s="70">
        <v>0.4919</v>
      </c>
      <c r="AL48" s="70">
        <v>25.082699999999999</v>
      </c>
      <c r="AM48" s="70">
        <v>9.0051000000000005</v>
      </c>
      <c r="AN48" s="71">
        <v>101.86539999999999</v>
      </c>
      <c r="AO48" s="71">
        <v>52.915399999999998</v>
      </c>
      <c r="AP48" s="71">
        <v>29.7834</v>
      </c>
      <c r="AQ48" s="71">
        <v>5.9360999999999997</v>
      </c>
      <c r="AR48" s="71">
        <v>24.858499999999999</v>
      </c>
      <c r="AS48" s="72"/>
      <c r="AT48" s="75"/>
      <c r="AU48" s="75"/>
      <c r="AV48" s="75"/>
      <c r="AW48" s="75"/>
      <c r="AX48" s="72"/>
      <c r="AY48" s="72"/>
      <c r="AZ48" s="72"/>
      <c r="BA48" s="72"/>
      <c r="BC48" s="74">
        <v>6.58</v>
      </c>
      <c r="BD48" s="92">
        <v>169.8</v>
      </c>
      <c r="BE48" s="92">
        <v>57.85</v>
      </c>
      <c r="BF48" s="92">
        <v>41.965000000000003</v>
      </c>
      <c r="BG48" s="88">
        <f t="shared" si="13"/>
        <v>111.95000000000002</v>
      </c>
      <c r="BH48" s="70">
        <v>63.430700000000002</v>
      </c>
      <c r="BM48" s="70">
        <v>28.544</v>
      </c>
      <c r="BN48" s="70">
        <v>7.3381999999999996</v>
      </c>
      <c r="BO48" s="71">
        <v>111.07599999999999</v>
      </c>
      <c r="BQ48" s="71">
        <v>53.136400000000002</v>
      </c>
      <c r="BR48" s="71">
        <v>31.369</v>
      </c>
      <c r="BS48" s="71">
        <v>6.2039</v>
      </c>
      <c r="BT48" s="71">
        <v>23.9801</v>
      </c>
      <c r="BU48" s="72"/>
      <c r="BV48" s="72"/>
      <c r="BW48" s="72"/>
      <c r="BX48" s="72"/>
      <c r="BY48" s="72"/>
      <c r="BZ48" s="72"/>
      <c r="CA48" s="72"/>
      <c r="CB48" s="72"/>
      <c r="CD48" s="74">
        <v>6.47</v>
      </c>
      <c r="CE48" s="69"/>
      <c r="CF48" s="69"/>
      <c r="CG48" s="69"/>
      <c r="CH48" s="69"/>
      <c r="CI48" s="76"/>
      <c r="CJ48" s="76"/>
      <c r="CK48" s="177"/>
      <c r="CL48" s="70"/>
      <c r="CM48" s="76"/>
      <c r="CN48" s="77"/>
      <c r="CO48" s="77"/>
      <c r="CP48" s="77"/>
      <c r="CQ48" s="77"/>
      <c r="CR48" s="77"/>
      <c r="CS48" s="66"/>
      <c r="CT48" s="66"/>
      <c r="CU48" s="66"/>
      <c r="CV48" s="66"/>
      <c r="CW48" s="66"/>
      <c r="CX48" s="66"/>
      <c r="CY48" s="66"/>
      <c r="CZ48" s="66"/>
      <c r="DA48" s="168"/>
      <c r="DB48" s="67"/>
      <c r="DC48" s="69"/>
      <c r="DD48" s="69"/>
      <c r="DE48" s="69"/>
      <c r="DF48" s="69"/>
      <c r="DG48" s="70"/>
      <c r="DH48" s="70"/>
      <c r="DI48" s="70"/>
      <c r="DJ48" s="177"/>
      <c r="DK48" s="177"/>
      <c r="DL48" s="70"/>
      <c r="DM48" s="70"/>
      <c r="DN48" s="71"/>
      <c r="DO48" s="71"/>
      <c r="DP48" s="180"/>
      <c r="DQ48" s="180"/>
      <c r="DR48" s="71"/>
      <c r="DS48" s="180"/>
      <c r="DT48" s="66"/>
      <c r="DU48" s="79"/>
      <c r="DV48" s="79"/>
      <c r="DW48" s="119"/>
      <c r="DX48" s="79"/>
      <c r="DY48" s="136"/>
      <c r="DZ48" s="168"/>
      <c r="EA48" s="74"/>
      <c r="EB48" s="78">
        <f t="shared" si="8"/>
        <v>-2.4434389140271628</v>
      </c>
      <c r="EC48" s="78">
        <f t="shared" si="9"/>
        <v>3.5029190992493797</v>
      </c>
      <c r="ED48" s="78">
        <f t="shared" si="10"/>
        <v>-30.793205547763769</v>
      </c>
      <c r="EE48" s="78">
        <f t="shared" si="11"/>
        <v>-5.8128544423440731</v>
      </c>
      <c r="EF48" s="79"/>
      <c r="EG48" s="66"/>
      <c r="EH48" s="138"/>
      <c r="EI48" s="139"/>
      <c r="EJ48" s="79"/>
      <c r="EK48" s="139"/>
      <c r="EL48" s="66"/>
      <c r="EM48" s="66"/>
      <c r="EN48" s="66"/>
      <c r="EO48" s="66"/>
      <c r="EP48" s="66"/>
    </row>
    <row r="49" spans="1:146" hidden="1" x14ac:dyDescent="0.3">
      <c r="A49" s="86">
        <v>44573</v>
      </c>
      <c r="B49" s="86"/>
      <c r="C49" s="90">
        <v>88.1</v>
      </c>
      <c r="D49" s="90">
        <v>68.150000000000006</v>
      </c>
      <c r="E49" s="90"/>
      <c r="F49" s="69">
        <f t="shared" si="0"/>
        <v>19.949999999999989</v>
      </c>
      <c r="T49" s="72"/>
      <c r="U49" s="73"/>
      <c r="V49" s="73"/>
      <c r="W49" s="72"/>
      <c r="X49" s="72"/>
      <c r="Y49" s="72"/>
      <c r="Z49" s="72"/>
      <c r="AA49" s="72"/>
      <c r="AB49" s="72"/>
      <c r="AD49" s="74">
        <v>7.34</v>
      </c>
      <c r="AE49" s="91">
        <v>106.35</v>
      </c>
      <c r="AF49" s="91">
        <v>65.650000000000006</v>
      </c>
      <c r="AG49" s="91"/>
      <c r="AH49" s="87">
        <f t="shared" si="7"/>
        <v>40.699999999999989</v>
      </c>
      <c r="AS49" s="72"/>
      <c r="AT49" s="75"/>
      <c r="AU49" s="75"/>
      <c r="AV49" s="75"/>
      <c r="AW49" s="75"/>
      <c r="AX49" s="72"/>
      <c r="AY49" s="72"/>
      <c r="AZ49" s="72"/>
      <c r="BA49" s="72"/>
      <c r="BC49" s="74">
        <v>7.09</v>
      </c>
      <c r="BD49" s="92">
        <v>98.9</v>
      </c>
      <c r="BE49" s="92">
        <v>68.099999999999994</v>
      </c>
      <c r="BF49" s="92"/>
      <c r="BG49" s="88">
        <f t="shared" si="13"/>
        <v>30.800000000000011</v>
      </c>
      <c r="BU49" s="72"/>
      <c r="BV49" s="72"/>
      <c r="BW49" s="72"/>
      <c r="BX49" s="72"/>
      <c r="BY49" s="72"/>
      <c r="BZ49" s="72"/>
      <c r="CA49" s="72"/>
      <c r="CB49" s="72"/>
      <c r="CD49" s="74">
        <v>7.1</v>
      </c>
      <c r="CE49" s="69"/>
      <c r="CF49" s="69"/>
      <c r="CG49" s="69"/>
      <c r="CH49" s="69"/>
      <c r="CI49" s="76"/>
      <c r="CJ49" s="76"/>
      <c r="CK49" s="177"/>
      <c r="CL49" s="70"/>
      <c r="CM49" s="76"/>
      <c r="CN49" s="77"/>
      <c r="CO49" s="77"/>
      <c r="CP49" s="77"/>
      <c r="CQ49" s="77"/>
      <c r="CR49" s="77"/>
      <c r="CS49" s="66"/>
      <c r="CT49" s="66"/>
      <c r="CU49" s="66"/>
      <c r="CV49" s="66"/>
      <c r="CW49" s="66"/>
      <c r="CX49" s="66"/>
      <c r="CY49" s="66"/>
      <c r="CZ49" s="66"/>
      <c r="DA49" s="168"/>
      <c r="DB49" s="67"/>
      <c r="DC49" s="69"/>
      <c r="DD49" s="69"/>
      <c r="DE49" s="69"/>
      <c r="DF49" s="69"/>
      <c r="DG49" s="70"/>
      <c r="DH49" s="70"/>
      <c r="DI49" s="70"/>
      <c r="DJ49" s="177"/>
      <c r="DK49" s="177"/>
      <c r="DL49" s="70"/>
      <c r="DM49" s="70"/>
      <c r="DN49" s="71"/>
      <c r="DO49" s="71"/>
      <c r="DP49" s="180"/>
      <c r="DQ49" s="180"/>
      <c r="DR49" s="71"/>
      <c r="DS49" s="180"/>
      <c r="DT49" s="66"/>
      <c r="DU49" s="79"/>
      <c r="DV49" s="79"/>
      <c r="DW49" s="119"/>
      <c r="DX49" s="79"/>
      <c r="DY49" s="136"/>
      <c r="DZ49" s="168"/>
      <c r="EA49" s="74"/>
      <c r="EB49" s="78">
        <f>(1-BD49/C49)*100</f>
        <v>-12.258796821793428</v>
      </c>
      <c r="EC49" s="78">
        <f>(1-BE49/D49)*100</f>
        <v>7.3367571533400344E-2</v>
      </c>
      <c r="ED49" s="78"/>
      <c r="EE49" s="78">
        <f>(1-BG49/F49)*100</f>
        <v>-54.385964912280848</v>
      </c>
      <c r="EF49" s="79"/>
      <c r="EG49" s="66"/>
      <c r="EH49" s="138"/>
      <c r="EI49" s="139"/>
      <c r="EJ49" s="79"/>
      <c r="EK49" s="139"/>
      <c r="EL49" s="66"/>
      <c r="EM49" s="66"/>
      <c r="EN49" s="66"/>
      <c r="EO49" s="66"/>
      <c r="EP49" s="66"/>
    </row>
    <row r="50" spans="1:146" hidden="1" x14ac:dyDescent="0.3">
      <c r="A50" s="86">
        <v>44575</v>
      </c>
      <c r="B50" s="86"/>
      <c r="C50" s="90"/>
      <c r="D50" s="90"/>
      <c r="E50" s="90"/>
      <c r="T50" s="72"/>
      <c r="U50" s="73">
        <v>285</v>
      </c>
      <c r="V50" s="73"/>
      <c r="W50" s="72"/>
      <c r="X50" s="73"/>
      <c r="Y50" s="73"/>
      <c r="Z50" s="73"/>
      <c r="AA50" s="73"/>
      <c r="AB50" s="73"/>
      <c r="AE50" s="91"/>
      <c r="AF50" s="91"/>
      <c r="AG50" s="91"/>
      <c r="AH50" s="87"/>
      <c r="AS50" s="72"/>
      <c r="AT50" s="75">
        <v>352</v>
      </c>
      <c r="AU50" s="75"/>
      <c r="AV50" s="75"/>
      <c r="AW50" s="75"/>
      <c r="AX50" s="73"/>
      <c r="AY50" s="73"/>
      <c r="AZ50" s="73"/>
      <c r="BA50" s="73"/>
      <c r="BB50" s="172"/>
      <c r="BD50" s="92"/>
      <c r="BE50" s="92"/>
      <c r="BF50" s="92"/>
      <c r="BG50" s="88"/>
      <c r="BU50" s="72"/>
      <c r="BV50" s="73">
        <v>315</v>
      </c>
      <c r="BW50" s="73"/>
      <c r="BX50" s="73"/>
      <c r="BY50" s="73"/>
      <c r="BZ50" s="73"/>
      <c r="CA50" s="73"/>
      <c r="CB50" s="73"/>
      <c r="CE50" s="69"/>
      <c r="CF50" s="69"/>
      <c r="CG50" s="69"/>
      <c r="CH50" s="69"/>
      <c r="CI50" s="76"/>
      <c r="CJ50" s="76"/>
      <c r="CK50" s="177"/>
      <c r="CL50" s="70"/>
      <c r="CM50" s="76"/>
      <c r="CN50" s="77"/>
      <c r="CO50" s="77"/>
      <c r="CP50" s="77"/>
      <c r="CQ50" s="77"/>
      <c r="CR50" s="77"/>
      <c r="CS50" s="66"/>
      <c r="CT50" s="66"/>
      <c r="CU50" s="66"/>
      <c r="CV50" s="66"/>
      <c r="CW50" s="66"/>
      <c r="CX50" s="66"/>
      <c r="CY50" s="66"/>
      <c r="CZ50" s="66"/>
      <c r="DA50" s="168"/>
      <c r="DB50" s="67"/>
      <c r="DC50" s="69"/>
      <c r="DD50" s="69"/>
      <c r="DE50" s="69"/>
      <c r="DF50" s="69"/>
      <c r="DG50" s="70"/>
      <c r="DH50" s="70"/>
      <c r="DI50" s="70"/>
      <c r="DJ50" s="177"/>
      <c r="DK50" s="177"/>
      <c r="DL50" s="70"/>
      <c r="DM50" s="70"/>
      <c r="DN50" s="71"/>
      <c r="DO50" s="71"/>
      <c r="DP50" s="180"/>
      <c r="DQ50" s="180"/>
      <c r="DR50" s="71"/>
      <c r="DS50" s="180"/>
      <c r="DT50" s="66"/>
      <c r="DU50" s="79"/>
      <c r="DV50" s="79"/>
      <c r="DW50" s="119"/>
      <c r="DX50" s="79"/>
      <c r="DY50" s="136"/>
      <c r="DZ50" s="168"/>
      <c r="EA50" s="74"/>
      <c r="EB50" s="78"/>
      <c r="EC50" s="78"/>
      <c r="ED50" s="78"/>
      <c r="EE50" s="78"/>
      <c r="EF50" s="79"/>
      <c r="EG50" s="66"/>
      <c r="EH50" s="66"/>
      <c r="EI50" s="66"/>
      <c r="EJ50" s="79"/>
      <c r="EK50" s="66"/>
      <c r="EL50" s="66"/>
      <c r="EM50" s="66"/>
      <c r="EN50" s="66"/>
      <c r="EO50" s="66"/>
      <c r="EP50" s="66"/>
    </row>
    <row r="51" spans="1:146" hidden="1" x14ac:dyDescent="0.3">
      <c r="A51" s="86">
        <v>44579</v>
      </c>
      <c r="B51" s="86"/>
      <c r="C51" s="90">
        <v>111.6</v>
      </c>
      <c r="D51" s="90">
        <v>70.05</v>
      </c>
      <c r="E51" s="90"/>
      <c r="F51" s="69">
        <f t="shared" si="0"/>
        <v>41.55</v>
      </c>
      <c r="T51" s="72"/>
      <c r="U51" s="73"/>
      <c r="V51" s="73"/>
      <c r="W51" s="72"/>
      <c r="X51" s="72"/>
      <c r="Y51" s="72"/>
      <c r="Z51" s="72"/>
      <c r="AA51" s="72"/>
      <c r="AB51" s="72"/>
      <c r="AD51" s="74">
        <v>7.94</v>
      </c>
      <c r="AE51" s="91">
        <v>125.85</v>
      </c>
      <c r="AF51" s="91">
        <v>55.75</v>
      </c>
      <c r="AG51" s="91"/>
      <c r="AH51" s="87">
        <f t="shared" si="7"/>
        <v>70.099999999999994</v>
      </c>
      <c r="AS51" s="72"/>
      <c r="AT51" s="75"/>
      <c r="AU51" s="75"/>
      <c r="AV51" s="75"/>
      <c r="AW51" s="75"/>
      <c r="AX51" s="72"/>
      <c r="AY51" s="72"/>
      <c r="AZ51" s="72"/>
      <c r="BA51" s="72"/>
      <c r="BC51" s="74">
        <v>6.94</v>
      </c>
      <c r="BD51" s="92">
        <v>125.85</v>
      </c>
      <c r="BE51" s="92">
        <v>52.8</v>
      </c>
      <c r="BF51" s="92"/>
      <c r="BG51" s="88">
        <f t="shared" si="13"/>
        <v>73.05</v>
      </c>
      <c r="BU51" s="72"/>
      <c r="BV51" s="72"/>
      <c r="BW51" s="72"/>
      <c r="BX51" s="72"/>
      <c r="BY51" s="72"/>
      <c r="BZ51" s="72"/>
      <c r="CA51" s="72"/>
      <c r="CB51" s="72"/>
      <c r="CD51" s="74">
        <v>7.05</v>
      </c>
      <c r="CE51" s="69"/>
      <c r="CF51" s="69"/>
      <c r="CG51" s="69"/>
      <c r="CH51" s="69"/>
      <c r="CI51" s="76"/>
      <c r="CJ51" s="76"/>
      <c r="CK51" s="177"/>
      <c r="CL51" s="70"/>
      <c r="CM51" s="76"/>
      <c r="CN51" s="77"/>
      <c r="CO51" s="77"/>
      <c r="CP51" s="77"/>
      <c r="CQ51" s="77"/>
      <c r="CR51" s="77"/>
      <c r="CS51" s="66"/>
      <c r="CT51" s="66"/>
      <c r="CU51" s="66"/>
      <c r="CV51" s="66"/>
      <c r="CW51" s="66"/>
      <c r="CX51" s="66"/>
      <c r="CY51" s="66"/>
      <c r="CZ51" s="66"/>
      <c r="DA51" s="168"/>
      <c r="DB51" s="67"/>
      <c r="DC51" s="69"/>
      <c r="DD51" s="69"/>
      <c r="DE51" s="69"/>
      <c r="DF51" s="69"/>
      <c r="DG51" s="70"/>
      <c r="DH51" s="70"/>
      <c r="DI51" s="70"/>
      <c r="DJ51" s="177"/>
      <c r="DK51" s="177"/>
      <c r="DL51" s="70"/>
      <c r="DM51" s="70"/>
      <c r="DN51" s="71"/>
      <c r="DO51" s="71"/>
      <c r="DP51" s="180"/>
      <c r="DQ51" s="180"/>
      <c r="DR51" s="71"/>
      <c r="DS51" s="180"/>
      <c r="DT51" s="66"/>
      <c r="DU51" s="79"/>
      <c r="DV51" s="79"/>
      <c r="DW51" s="119"/>
      <c r="DX51" s="79"/>
      <c r="DY51" s="136"/>
      <c r="DZ51" s="168"/>
      <c r="EA51" s="74"/>
      <c r="EB51" s="78">
        <f t="shared" ref="EB51:EB60" si="14">(1-BD51/C51)*100</f>
        <v>-12.768817204301076</v>
      </c>
      <c r="EC51" s="78">
        <f t="shared" ref="EC51:EC60" si="15">(1-BE51/D51)*100</f>
        <v>24.625267665952887</v>
      </c>
      <c r="ED51" s="78"/>
      <c r="EE51" s="78">
        <f t="shared" ref="EE51:EE61" si="16">(1-BG51/F51)*100</f>
        <v>-75.812274368231058</v>
      </c>
      <c r="EF51" s="79"/>
      <c r="EG51" s="66"/>
      <c r="EH51" s="138"/>
      <c r="EI51" s="139"/>
      <c r="EJ51" s="79"/>
      <c r="EK51" s="139"/>
      <c r="EL51" s="66"/>
      <c r="EM51" s="66"/>
      <c r="EN51" s="66"/>
      <c r="EO51" s="66"/>
      <c r="EP51" s="66"/>
    </row>
    <row r="52" spans="1:146" hidden="1" x14ac:dyDescent="0.3">
      <c r="A52" s="86">
        <v>44586</v>
      </c>
      <c r="B52" s="86"/>
      <c r="C52" s="93">
        <f>5*18.09</f>
        <v>90.45</v>
      </c>
      <c r="D52" s="93">
        <f>5*16.92</f>
        <v>84.600000000000009</v>
      </c>
      <c r="E52" s="93">
        <f>5*4.901</f>
        <v>24.504999999999999</v>
      </c>
      <c r="F52" s="69">
        <f t="shared" si="0"/>
        <v>5.8499999999999943</v>
      </c>
      <c r="T52" s="72"/>
      <c r="U52" s="73"/>
      <c r="V52" s="73"/>
      <c r="W52" s="72"/>
      <c r="X52" s="72"/>
      <c r="Y52" s="72"/>
      <c r="Z52" s="72"/>
      <c r="AA52" s="72"/>
      <c r="AB52" s="72"/>
      <c r="AD52" s="94">
        <v>7.05</v>
      </c>
      <c r="AE52" s="95">
        <f>5*24.41</f>
        <v>122.05</v>
      </c>
      <c r="AF52" s="95">
        <f>5*13.31</f>
        <v>66.55</v>
      </c>
      <c r="AG52" s="95">
        <f>5*4.754</f>
        <v>23.769999999999996</v>
      </c>
      <c r="AH52" s="87">
        <f t="shared" si="7"/>
        <v>55.5</v>
      </c>
      <c r="AS52" s="72"/>
      <c r="AT52" s="75"/>
      <c r="AU52" s="75"/>
      <c r="AV52" s="75"/>
      <c r="AW52" s="75"/>
      <c r="AX52" s="72"/>
      <c r="AY52" s="72"/>
      <c r="AZ52" s="72"/>
      <c r="BA52" s="72"/>
      <c r="BC52" s="94">
        <v>6.81</v>
      </c>
      <c r="BD52" s="93">
        <f>5*16.04</f>
        <v>80.199999999999989</v>
      </c>
      <c r="BE52" s="93">
        <f>5*16.67</f>
        <v>83.350000000000009</v>
      </c>
      <c r="BF52" s="93">
        <f>5*4.667</f>
        <v>23.335000000000001</v>
      </c>
      <c r="BG52" s="88">
        <f t="shared" si="13"/>
        <v>-3.1500000000000199</v>
      </c>
      <c r="BU52" s="72"/>
      <c r="BV52" s="72"/>
      <c r="BW52" s="72"/>
      <c r="BX52" s="72"/>
      <c r="BY52" s="72"/>
      <c r="BZ52" s="72"/>
      <c r="CA52" s="72"/>
      <c r="CB52" s="72"/>
      <c r="CD52" s="94">
        <v>6.88</v>
      </c>
      <c r="CE52" s="69"/>
      <c r="CF52" s="69"/>
      <c r="CG52" s="69"/>
      <c r="CH52" s="69"/>
      <c r="CI52" s="76"/>
      <c r="CJ52" s="76"/>
      <c r="CK52" s="177"/>
      <c r="CL52" s="70"/>
      <c r="CM52" s="76"/>
      <c r="CN52" s="77"/>
      <c r="CO52" s="77"/>
      <c r="CP52" s="77"/>
      <c r="CQ52" s="77"/>
      <c r="CR52" s="77"/>
      <c r="CS52" s="66"/>
      <c r="CT52" s="66"/>
      <c r="CU52" s="66"/>
      <c r="CV52" s="66"/>
      <c r="CW52" s="66"/>
      <c r="CX52" s="66"/>
      <c r="CY52" s="66"/>
      <c r="CZ52" s="66"/>
      <c r="DA52" s="168"/>
      <c r="DB52" s="67"/>
      <c r="DC52" s="69"/>
      <c r="DD52" s="69"/>
      <c r="DE52" s="69"/>
      <c r="DF52" s="69"/>
      <c r="DG52" s="70"/>
      <c r="DH52" s="70"/>
      <c r="DI52" s="70"/>
      <c r="DJ52" s="177"/>
      <c r="DK52" s="177"/>
      <c r="DL52" s="70"/>
      <c r="DM52" s="70"/>
      <c r="DN52" s="71"/>
      <c r="DO52" s="71"/>
      <c r="DP52" s="180"/>
      <c r="DQ52" s="180"/>
      <c r="DR52" s="71"/>
      <c r="DS52" s="180"/>
      <c r="DT52" s="66"/>
      <c r="DU52" s="79"/>
      <c r="DV52" s="79"/>
      <c r="DW52" s="119"/>
      <c r="DX52" s="79"/>
      <c r="DY52" s="136"/>
      <c r="DZ52" s="168"/>
      <c r="EA52" s="74"/>
      <c r="EB52" s="78">
        <f t="shared" si="14"/>
        <v>11.332227750138212</v>
      </c>
      <c r="EC52" s="78">
        <f t="shared" si="15"/>
        <v>1.4775413711583973</v>
      </c>
      <c r="ED52" s="78">
        <f t="shared" ref="ED52:ED60" si="17">(1-BF52/E52)*100</f>
        <v>4.7745358090185652</v>
      </c>
      <c r="EE52" s="78">
        <f t="shared" si="16"/>
        <v>153.84615384615424</v>
      </c>
      <c r="EF52" s="79"/>
      <c r="EG52" s="66"/>
      <c r="EH52" s="138"/>
      <c r="EI52" s="139"/>
      <c r="EJ52" s="79"/>
      <c r="EK52" s="139"/>
      <c r="EL52" s="66"/>
      <c r="EM52" s="66"/>
      <c r="EN52" s="66"/>
      <c r="EO52" s="66"/>
      <c r="EP52" s="66"/>
    </row>
    <row r="53" spans="1:146" hidden="1" x14ac:dyDescent="0.3">
      <c r="A53" s="86">
        <v>44594</v>
      </c>
      <c r="B53" s="86"/>
      <c r="C53" s="93">
        <f>5*23.33</f>
        <v>116.64999999999999</v>
      </c>
      <c r="D53" s="93">
        <f>5*15.52</f>
        <v>77.599999999999994</v>
      </c>
      <c r="E53" s="93">
        <f>5*7.829</f>
        <v>39.144999999999996</v>
      </c>
      <c r="F53" s="69">
        <f t="shared" si="0"/>
        <v>39.049999999999997</v>
      </c>
      <c r="T53" s="72"/>
      <c r="U53" s="73"/>
      <c r="V53" s="73"/>
      <c r="W53" s="72"/>
      <c r="X53" s="72"/>
      <c r="Y53" s="72"/>
      <c r="Z53" s="72"/>
      <c r="AA53" s="72"/>
      <c r="AB53" s="72"/>
      <c r="AD53" s="94">
        <v>7.4</v>
      </c>
      <c r="AE53" s="95">
        <f>5*19.2</f>
        <v>96</v>
      </c>
      <c r="AF53" s="95">
        <f>5*15.99</f>
        <v>79.95</v>
      </c>
      <c r="AG53" s="95">
        <f>5*5.654</f>
        <v>28.27</v>
      </c>
      <c r="AH53" s="87">
        <f t="shared" si="7"/>
        <v>16.049999999999997</v>
      </c>
      <c r="AS53" s="72"/>
      <c r="AT53" s="75"/>
      <c r="AU53" s="75"/>
      <c r="AV53" s="75"/>
      <c r="AW53" s="75"/>
      <c r="AX53" s="72"/>
      <c r="AY53" s="72"/>
      <c r="AZ53" s="72"/>
      <c r="BA53" s="72"/>
      <c r="BC53" s="94">
        <v>7.14</v>
      </c>
      <c r="BD53" s="93">
        <f>5*20.58</f>
        <v>102.89999999999999</v>
      </c>
      <c r="BE53" s="93">
        <f>5*15.44</f>
        <v>77.2</v>
      </c>
      <c r="BF53" s="93">
        <f>5*4.912</f>
        <v>24.56</v>
      </c>
      <c r="BG53" s="88">
        <f t="shared" si="13"/>
        <v>25.699999999999989</v>
      </c>
      <c r="BU53" s="72"/>
      <c r="BV53" s="72"/>
      <c r="BW53" s="72"/>
      <c r="BX53" s="72"/>
      <c r="BY53" s="72"/>
      <c r="BZ53" s="72"/>
      <c r="CA53" s="72"/>
      <c r="CB53" s="72"/>
      <c r="CD53" s="94">
        <v>6.95</v>
      </c>
      <c r="CE53" s="69"/>
      <c r="CF53" s="69"/>
      <c r="CG53" s="69"/>
      <c r="CH53" s="69"/>
      <c r="CI53" s="76"/>
      <c r="CJ53" s="76"/>
      <c r="CK53" s="177"/>
      <c r="CL53" s="70"/>
      <c r="CM53" s="76"/>
      <c r="CN53" s="77"/>
      <c r="CO53" s="77"/>
      <c r="CP53" s="77"/>
      <c r="CQ53" s="77"/>
      <c r="CR53" s="77"/>
      <c r="CS53" s="66"/>
      <c r="CT53" s="66"/>
      <c r="CU53" s="66"/>
      <c r="CV53" s="66"/>
      <c r="CW53" s="66"/>
      <c r="CX53" s="66"/>
      <c r="CY53" s="66"/>
      <c r="CZ53" s="66"/>
      <c r="DA53" s="168"/>
      <c r="DB53" s="67"/>
      <c r="DC53" s="69"/>
      <c r="DD53" s="69"/>
      <c r="DE53" s="69"/>
      <c r="DF53" s="69"/>
      <c r="DG53" s="70"/>
      <c r="DH53" s="70"/>
      <c r="DI53" s="70"/>
      <c r="DJ53" s="177"/>
      <c r="DK53" s="177"/>
      <c r="DL53" s="70"/>
      <c r="DM53" s="70"/>
      <c r="DN53" s="71"/>
      <c r="DO53" s="71"/>
      <c r="DP53" s="180"/>
      <c r="DQ53" s="180"/>
      <c r="DR53" s="71"/>
      <c r="DS53" s="180"/>
      <c r="DT53" s="66"/>
      <c r="DU53" s="79"/>
      <c r="DV53" s="79"/>
      <c r="DW53" s="119"/>
      <c r="DX53" s="79"/>
      <c r="DY53" s="136"/>
      <c r="DZ53" s="168"/>
      <c r="EA53" s="74"/>
      <c r="EB53" s="78">
        <f t="shared" si="14"/>
        <v>11.787398199742826</v>
      </c>
      <c r="EC53" s="78">
        <f t="shared" si="15"/>
        <v>0.51546391752576026</v>
      </c>
      <c r="ED53" s="78">
        <f t="shared" si="17"/>
        <v>37.258909183803802</v>
      </c>
      <c r="EE53" s="78">
        <f t="shared" si="16"/>
        <v>34.186939820742658</v>
      </c>
      <c r="EF53" s="79"/>
      <c r="EG53" s="66"/>
      <c r="EH53" s="138"/>
      <c r="EI53" s="139"/>
      <c r="EJ53" s="79"/>
      <c r="EK53" s="139"/>
      <c r="EL53" s="66"/>
      <c r="EM53" s="66"/>
      <c r="EN53" s="66"/>
      <c r="EO53" s="66"/>
      <c r="EP53" s="66"/>
    </row>
    <row r="54" spans="1:146" hidden="1" x14ac:dyDescent="0.3">
      <c r="A54" s="86">
        <v>44600</v>
      </c>
      <c r="B54" s="86"/>
      <c r="C54" s="93">
        <f>5*23.1</f>
        <v>115.5</v>
      </c>
      <c r="D54" s="93">
        <f>5*13.25</f>
        <v>66.25</v>
      </c>
      <c r="E54" s="93">
        <f>5*5.316</f>
        <v>26.58</v>
      </c>
      <c r="F54" s="69">
        <f t="shared" si="0"/>
        <v>49.25</v>
      </c>
      <c r="T54" s="72"/>
      <c r="U54" s="73"/>
      <c r="V54" s="73"/>
      <c r="W54" s="72"/>
      <c r="X54" s="72"/>
      <c r="Y54" s="72"/>
      <c r="Z54" s="72"/>
      <c r="AA54" s="72"/>
      <c r="AB54" s="72"/>
      <c r="AD54" s="94">
        <v>7.5</v>
      </c>
      <c r="AE54" s="95">
        <f>5*28.09</f>
        <v>140.44999999999999</v>
      </c>
      <c r="AF54" s="95">
        <f>5*11.64</f>
        <v>58.2</v>
      </c>
      <c r="AG54" s="95">
        <f>5*4.894</f>
        <v>24.47</v>
      </c>
      <c r="AH54" s="87">
        <f t="shared" si="7"/>
        <v>82.249999999999986</v>
      </c>
      <c r="AS54" s="72"/>
      <c r="AT54" s="75"/>
      <c r="AU54" s="75"/>
      <c r="AV54" s="75"/>
      <c r="AW54" s="75"/>
      <c r="AX54" s="72"/>
      <c r="AY54" s="72"/>
      <c r="AZ54" s="72"/>
      <c r="BA54" s="72"/>
      <c r="BC54" s="94">
        <v>6.77</v>
      </c>
      <c r="BD54" s="93">
        <f>5*29.04</f>
        <v>145.19999999999999</v>
      </c>
      <c r="BE54" s="93">
        <f>5*12.11</f>
        <v>60.55</v>
      </c>
      <c r="BF54" s="93">
        <f>5*5.203</f>
        <v>26.015000000000001</v>
      </c>
      <c r="BG54" s="88">
        <f t="shared" si="13"/>
        <v>84.649999999999991</v>
      </c>
      <c r="BU54" s="72"/>
      <c r="BV54" s="72"/>
      <c r="BW54" s="72"/>
      <c r="BX54" s="72"/>
      <c r="BY54" s="72"/>
      <c r="BZ54" s="72"/>
      <c r="CA54" s="72"/>
      <c r="CB54" s="72"/>
      <c r="CD54" s="94">
        <v>6.73</v>
      </c>
      <c r="CE54" s="69"/>
      <c r="CF54" s="69"/>
      <c r="CG54" s="69"/>
      <c r="CH54" s="69"/>
      <c r="CI54" s="76"/>
      <c r="CJ54" s="76"/>
      <c r="CK54" s="177"/>
      <c r="CL54" s="70"/>
      <c r="CM54" s="76"/>
      <c r="CN54" s="77"/>
      <c r="CO54" s="77"/>
      <c r="CP54" s="77"/>
      <c r="CQ54" s="77"/>
      <c r="CR54" s="77"/>
      <c r="CS54" s="66"/>
      <c r="CT54" s="66"/>
      <c r="CU54" s="66"/>
      <c r="CV54" s="66"/>
      <c r="CW54" s="66"/>
      <c r="CX54" s="66"/>
      <c r="CY54" s="66"/>
      <c r="CZ54" s="66"/>
      <c r="DA54" s="168"/>
      <c r="DB54" s="67"/>
      <c r="DC54" s="69"/>
      <c r="DD54" s="69"/>
      <c r="DE54" s="69"/>
      <c r="DF54" s="69"/>
      <c r="DG54" s="70"/>
      <c r="DH54" s="70"/>
      <c r="DI54" s="70"/>
      <c r="DJ54" s="177"/>
      <c r="DK54" s="177"/>
      <c r="DL54" s="70"/>
      <c r="DM54" s="70"/>
      <c r="DN54" s="71"/>
      <c r="DO54" s="71"/>
      <c r="DP54" s="180"/>
      <c r="DQ54" s="180"/>
      <c r="DR54" s="71"/>
      <c r="DS54" s="180"/>
      <c r="DT54" s="66"/>
      <c r="DU54" s="79"/>
      <c r="DV54" s="79"/>
      <c r="DW54" s="119"/>
      <c r="DX54" s="79"/>
      <c r="DY54" s="136"/>
      <c r="DZ54" s="168"/>
      <c r="EA54" s="74"/>
      <c r="EB54" s="78">
        <f t="shared" si="14"/>
        <v>-25.714285714285712</v>
      </c>
      <c r="EC54" s="78">
        <f t="shared" si="15"/>
        <v>8.6037735849056602</v>
      </c>
      <c r="ED54" s="78">
        <f t="shared" si="17"/>
        <v>2.125658389766738</v>
      </c>
      <c r="EE54" s="78">
        <f t="shared" si="16"/>
        <v>-71.87817258883247</v>
      </c>
      <c r="EF54" s="79"/>
      <c r="EG54" s="66"/>
      <c r="EH54" s="138"/>
      <c r="EI54" s="139"/>
      <c r="EJ54" s="79"/>
      <c r="EK54" s="139"/>
      <c r="EL54" s="66"/>
      <c r="EM54" s="66"/>
      <c r="EN54" s="66"/>
      <c r="EO54" s="66"/>
      <c r="EP54" s="66"/>
    </row>
    <row r="55" spans="1:146" hidden="1" x14ac:dyDescent="0.3">
      <c r="A55" s="86">
        <v>44615</v>
      </c>
      <c r="B55" s="86"/>
      <c r="C55" s="93">
        <v>127.8</v>
      </c>
      <c r="D55" s="93">
        <v>43.8</v>
      </c>
      <c r="E55" s="93">
        <v>18.100000000000001</v>
      </c>
      <c r="F55" s="69">
        <f t="shared" si="0"/>
        <v>84</v>
      </c>
      <c r="T55" s="72">
        <f>U55/E55</f>
        <v>19.64088397790055</v>
      </c>
      <c r="U55" s="73">
        <f>AVERAGE(355,356)</f>
        <v>355.5</v>
      </c>
      <c r="V55" s="73"/>
      <c r="W55" s="72"/>
      <c r="X55" s="72"/>
      <c r="Y55" s="72"/>
      <c r="Z55" s="72"/>
      <c r="AA55" s="72"/>
      <c r="AB55" s="72"/>
      <c r="AD55" s="94">
        <v>7.75</v>
      </c>
      <c r="AE55" s="95">
        <v>106.3</v>
      </c>
      <c r="AF55" s="95">
        <v>43</v>
      </c>
      <c r="AG55" s="95">
        <v>15.1</v>
      </c>
      <c r="AH55" s="87">
        <f t="shared" si="7"/>
        <v>63.3</v>
      </c>
      <c r="AS55" s="72"/>
      <c r="AT55" s="75">
        <f>AVERAGE(355,351)</f>
        <v>353</v>
      </c>
      <c r="AU55" s="75"/>
      <c r="AV55" s="75"/>
      <c r="AW55" s="75"/>
      <c r="AX55" s="72"/>
      <c r="AY55" s="72"/>
      <c r="AZ55" s="72"/>
      <c r="BA55" s="72"/>
      <c r="BC55" s="94">
        <v>7.12</v>
      </c>
      <c r="BD55" s="93">
        <v>100.2</v>
      </c>
      <c r="BE55" s="93">
        <v>40</v>
      </c>
      <c r="BF55" s="93">
        <v>16.3</v>
      </c>
      <c r="BG55" s="88">
        <f t="shared" si="13"/>
        <v>60.2</v>
      </c>
      <c r="BU55" s="72"/>
      <c r="BV55" s="72">
        <f>AVERAGE(313,312)</f>
        <v>312.5</v>
      </c>
      <c r="BW55" s="72"/>
      <c r="BX55" s="72"/>
      <c r="BY55" s="72"/>
      <c r="BZ55" s="72"/>
      <c r="CA55" s="72"/>
      <c r="CB55" s="72"/>
      <c r="CD55" s="94">
        <v>7.05</v>
      </c>
      <c r="CE55" s="69"/>
      <c r="CF55" s="69"/>
      <c r="CG55" s="69"/>
      <c r="CH55" s="69"/>
      <c r="CI55" s="76"/>
      <c r="CJ55" s="76"/>
      <c r="CK55" s="177"/>
      <c r="CL55" s="70"/>
      <c r="CM55" s="76"/>
      <c r="CN55" s="77"/>
      <c r="CO55" s="77"/>
      <c r="CP55" s="77"/>
      <c r="CQ55" s="77"/>
      <c r="CR55" s="77"/>
      <c r="CS55" s="66"/>
      <c r="CT55" s="66"/>
      <c r="CU55" s="66"/>
      <c r="CV55" s="66"/>
      <c r="CW55" s="66"/>
      <c r="CX55" s="66"/>
      <c r="CY55" s="66"/>
      <c r="CZ55" s="66"/>
      <c r="DA55" s="168"/>
      <c r="DB55" s="67"/>
      <c r="DC55" s="69"/>
      <c r="DD55" s="69"/>
      <c r="DE55" s="69"/>
      <c r="DF55" s="69"/>
      <c r="DG55" s="70"/>
      <c r="DH55" s="70"/>
      <c r="DI55" s="70"/>
      <c r="DJ55" s="177"/>
      <c r="DK55" s="177"/>
      <c r="DL55" s="70"/>
      <c r="DM55" s="70"/>
      <c r="DN55" s="71"/>
      <c r="DO55" s="71"/>
      <c r="DP55" s="180"/>
      <c r="DQ55" s="180"/>
      <c r="DR55" s="71"/>
      <c r="DS55" s="180"/>
      <c r="DT55" s="66"/>
      <c r="DU55" s="79"/>
      <c r="DV55" s="79"/>
      <c r="DW55" s="119"/>
      <c r="DX55" s="79"/>
      <c r="DY55" s="136"/>
      <c r="DZ55" s="168"/>
      <c r="EA55" s="74"/>
      <c r="EB55" s="78">
        <f t="shared" si="14"/>
        <v>21.5962441314554</v>
      </c>
      <c r="EC55" s="78">
        <f t="shared" si="15"/>
        <v>8.6757990867579853</v>
      </c>
      <c r="ED55" s="78">
        <f t="shared" si="17"/>
        <v>9.9447513812154771</v>
      </c>
      <c r="EE55" s="78">
        <f t="shared" si="16"/>
        <v>28.333333333333332</v>
      </c>
      <c r="EF55" s="79"/>
      <c r="EG55" s="66"/>
      <c r="EH55" s="138"/>
      <c r="EI55" s="139"/>
      <c r="EJ55" s="79"/>
      <c r="EK55" s="139"/>
      <c r="EL55" s="66"/>
      <c r="EM55" s="66"/>
      <c r="EN55" s="66"/>
      <c r="EO55" s="66"/>
      <c r="EP55" s="66"/>
    </row>
    <row r="56" spans="1:146" hidden="1" x14ac:dyDescent="0.3">
      <c r="A56" s="86">
        <v>44629</v>
      </c>
      <c r="B56" s="86"/>
      <c r="C56" s="93">
        <v>128</v>
      </c>
      <c r="D56" s="93">
        <v>61.6</v>
      </c>
      <c r="E56" s="93">
        <v>17.600000000000001</v>
      </c>
      <c r="F56" s="69">
        <f t="shared" si="0"/>
        <v>66.400000000000006</v>
      </c>
      <c r="T56" s="72">
        <f t="shared" ref="T56:T61" si="18">U56/E56</f>
        <v>11.022727272727272</v>
      </c>
      <c r="U56" s="73">
        <v>194</v>
      </c>
      <c r="V56" s="73"/>
      <c r="W56" s="72"/>
      <c r="X56" s="72"/>
      <c r="Y56" s="72"/>
      <c r="Z56" s="72"/>
      <c r="AA56" s="72"/>
      <c r="AB56" s="72"/>
      <c r="AD56" s="94">
        <v>7.86</v>
      </c>
      <c r="AE56" s="95">
        <v>133.69999999999999</v>
      </c>
      <c r="AF56" s="95">
        <v>62.4</v>
      </c>
      <c r="AG56" s="95">
        <v>16</v>
      </c>
      <c r="AH56" s="87">
        <f t="shared" si="7"/>
        <v>71.299999999999983</v>
      </c>
      <c r="AS56" s="72"/>
      <c r="AT56" s="75">
        <v>209</v>
      </c>
      <c r="AU56" s="75"/>
      <c r="AV56" s="75"/>
      <c r="AW56" s="75"/>
      <c r="AX56" s="72"/>
      <c r="AY56" s="72"/>
      <c r="AZ56" s="72"/>
      <c r="BA56" s="72"/>
      <c r="BC56" s="94">
        <v>6.89</v>
      </c>
      <c r="BD56" s="93">
        <v>131</v>
      </c>
      <c r="BE56" s="93">
        <v>60.3</v>
      </c>
      <c r="BF56" s="93">
        <v>15.7</v>
      </c>
      <c r="BG56" s="88">
        <f t="shared" si="13"/>
        <v>70.7</v>
      </c>
      <c r="BU56" s="72"/>
      <c r="BV56" s="72">
        <f>AVERAGE(225,238,230)</f>
        <v>231</v>
      </c>
      <c r="BW56" s="72"/>
      <c r="BX56" s="72"/>
      <c r="BY56" s="72"/>
      <c r="BZ56" s="72"/>
      <c r="CA56" s="72"/>
      <c r="CB56" s="72"/>
      <c r="CD56" s="94">
        <v>6.97</v>
      </c>
      <c r="CE56" s="69"/>
      <c r="CF56" s="69"/>
      <c r="CG56" s="69"/>
      <c r="CH56" s="69"/>
      <c r="CI56" s="76"/>
      <c r="CJ56" s="76"/>
      <c r="CK56" s="177"/>
      <c r="CL56" s="70"/>
      <c r="CM56" s="76"/>
      <c r="CN56" s="77"/>
      <c r="CO56" s="77"/>
      <c r="CP56" s="77"/>
      <c r="CQ56" s="77"/>
      <c r="CR56" s="77"/>
      <c r="CS56" s="66"/>
      <c r="CT56" s="66"/>
      <c r="CU56" s="66"/>
      <c r="CV56" s="66"/>
      <c r="CW56" s="66"/>
      <c r="CX56" s="66"/>
      <c r="CY56" s="66"/>
      <c r="CZ56" s="66"/>
      <c r="DA56" s="168"/>
      <c r="DB56" s="67"/>
      <c r="DC56" s="69"/>
      <c r="DD56" s="69"/>
      <c r="DE56" s="69"/>
      <c r="DF56" s="69"/>
      <c r="DG56" s="70"/>
      <c r="DH56" s="70"/>
      <c r="DI56" s="70"/>
      <c r="DJ56" s="177"/>
      <c r="DK56" s="177"/>
      <c r="DL56" s="70"/>
      <c r="DM56" s="70"/>
      <c r="DN56" s="71"/>
      <c r="DO56" s="71"/>
      <c r="DP56" s="180"/>
      <c r="DQ56" s="180"/>
      <c r="DR56" s="71"/>
      <c r="DS56" s="180"/>
      <c r="DT56" s="66"/>
      <c r="DU56" s="79"/>
      <c r="DV56" s="79"/>
      <c r="DW56" s="119"/>
      <c r="DX56" s="79"/>
      <c r="DY56" s="136"/>
      <c r="DZ56" s="168"/>
      <c r="EA56" s="74"/>
      <c r="EB56" s="78">
        <f t="shared" si="14"/>
        <v>-2.34375</v>
      </c>
      <c r="EC56" s="78">
        <f t="shared" si="15"/>
        <v>2.110389610389618</v>
      </c>
      <c r="ED56" s="78">
        <f t="shared" si="17"/>
        <v>10.795454545454552</v>
      </c>
      <c r="EE56" s="78">
        <f t="shared" si="16"/>
        <v>-6.475903614457823</v>
      </c>
      <c r="EF56" s="79"/>
      <c r="EG56" s="66"/>
      <c r="EH56" s="138"/>
      <c r="EI56" s="139"/>
      <c r="EJ56" s="79"/>
      <c r="EK56" s="139"/>
      <c r="EL56" s="66"/>
      <c r="EM56" s="66"/>
      <c r="EN56" s="66"/>
      <c r="EO56" s="66"/>
      <c r="EP56" s="66"/>
    </row>
    <row r="57" spans="1:146" hidden="1" x14ac:dyDescent="0.3">
      <c r="A57" s="86">
        <v>44635</v>
      </c>
      <c r="B57" s="86"/>
      <c r="C57" s="93">
        <v>137.69999999999999</v>
      </c>
      <c r="D57" s="93">
        <v>58</v>
      </c>
      <c r="E57" s="93">
        <v>19.3</v>
      </c>
      <c r="F57" s="69">
        <f t="shared" si="0"/>
        <v>79.699999999999989</v>
      </c>
      <c r="T57" s="72">
        <f t="shared" si="18"/>
        <v>25.259067357512951</v>
      </c>
      <c r="U57" s="73">
        <f>AVERAGE(489,486)</f>
        <v>487.5</v>
      </c>
      <c r="V57" s="73"/>
      <c r="W57" s="72"/>
      <c r="X57" s="72"/>
      <c r="Y57" s="72"/>
      <c r="Z57" s="72"/>
      <c r="AA57" s="72"/>
      <c r="AB57" s="72"/>
      <c r="AD57" s="74">
        <v>7.77</v>
      </c>
      <c r="AE57" s="95">
        <v>126.9</v>
      </c>
      <c r="AF57" s="95">
        <v>59.3</v>
      </c>
      <c r="AG57" s="95">
        <v>17.8</v>
      </c>
      <c r="AH57" s="87">
        <f t="shared" si="7"/>
        <v>67.600000000000009</v>
      </c>
      <c r="AS57" s="72"/>
      <c r="AT57" s="75">
        <f>AVERAGE(341,365,398,336,365,367,359,369)</f>
        <v>362.5</v>
      </c>
      <c r="AU57" s="75"/>
      <c r="AV57" s="75"/>
      <c r="AW57" s="75"/>
      <c r="AX57" s="72"/>
      <c r="AY57" s="72"/>
      <c r="AZ57" s="72"/>
      <c r="BA57" s="72"/>
      <c r="BC57" s="74">
        <v>7.32</v>
      </c>
      <c r="BD57" s="93">
        <v>128.5</v>
      </c>
      <c r="BE57" s="93">
        <v>55.5</v>
      </c>
      <c r="BF57" s="93">
        <v>17.3</v>
      </c>
      <c r="BG57" s="88">
        <f t="shared" si="13"/>
        <v>73</v>
      </c>
      <c r="BU57" s="72"/>
      <c r="BV57" s="72">
        <v>369</v>
      </c>
      <c r="BW57" s="72"/>
      <c r="BX57" s="72"/>
      <c r="BY57" s="72"/>
      <c r="BZ57" s="72"/>
      <c r="CA57" s="72"/>
      <c r="CB57" s="72"/>
      <c r="CD57" s="74">
        <v>7.29</v>
      </c>
      <c r="CE57" s="69"/>
      <c r="CF57" s="69"/>
      <c r="CG57" s="69"/>
      <c r="CH57" s="69"/>
      <c r="CI57" s="76"/>
      <c r="CJ57" s="76"/>
      <c r="CK57" s="177"/>
      <c r="CL57" s="70"/>
      <c r="CM57" s="76"/>
      <c r="CN57" s="77"/>
      <c r="CO57" s="77"/>
      <c r="CP57" s="77"/>
      <c r="CQ57" s="77"/>
      <c r="CR57" s="77"/>
      <c r="CS57" s="66"/>
      <c r="CT57" s="66"/>
      <c r="CU57" s="66"/>
      <c r="CV57" s="66"/>
      <c r="CW57" s="66"/>
      <c r="CX57" s="66"/>
      <c r="CY57" s="66"/>
      <c r="CZ57" s="66"/>
      <c r="DA57" s="168"/>
      <c r="DB57" s="67"/>
      <c r="DC57" s="69"/>
      <c r="DD57" s="69"/>
      <c r="DE57" s="69"/>
      <c r="DF57" s="69"/>
      <c r="DG57" s="70"/>
      <c r="DH57" s="70"/>
      <c r="DI57" s="70"/>
      <c r="DJ57" s="177"/>
      <c r="DK57" s="177"/>
      <c r="DL57" s="70"/>
      <c r="DM57" s="70"/>
      <c r="DN57" s="71"/>
      <c r="DO57" s="71"/>
      <c r="DP57" s="180"/>
      <c r="DQ57" s="180"/>
      <c r="DR57" s="71"/>
      <c r="DS57" s="180"/>
      <c r="DT57" s="66"/>
      <c r="DU57" s="79"/>
      <c r="DV57" s="79"/>
      <c r="DW57" s="119"/>
      <c r="DX57" s="79"/>
      <c r="DY57" s="136"/>
      <c r="DZ57" s="168"/>
      <c r="EA57" s="74"/>
      <c r="EB57" s="78">
        <f t="shared" si="14"/>
        <v>6.6811909949164754</v>
      </c>
      <c r="EC57" s="78">
        <f t="shared" si="15"/>
        <v>4.31034482758621</v>
      </c>
      <c r="ED57" s="78">
        <f t="shared" si="17"/>
        <v>10.362694300518138</v>
      </c>
      <c r="EE57" s="78">
        <f t="shared" si="16"/>
        <v>8.4065244667502981</v>
      </c>
      <c r="EF57" s="79"/>
      <c r="EG57" s="66"/>
      <c r="EH57" s="138"/>
      <c r="EI57" s="139"/>
      <c r="EJ57" s="79"/>
      <c r="EK57" s="139"/>
      <c r="EL57" s="66"/>
      <c r="EM57" s="66"/>
      <c r="EN57" s="66"/>
      <c r="EO57" s="66"/>
      <c r="EP57" s="66"/>
    </row>
    <row r="58" spans="1:146" hidden="1" x14ac:dyDescent="0.3">
      <c r="A58" s="86">
        <v>44642</v>
      </c>
      <c r="B58" s="86"/>
      <c r="C58" s="93">
        <v>122.2</v>
      </c>
      <c r="D58" s="93">
        <v>64.3</v>
      </c>
      <c r="E58" s="93">
        <v>20.2</v>
      </c>
      <c r="F58" s="69">
        <f t="shared" si="0"/>
        <v>57.900000000000006</v>
      </c>
      <c r="T58" s="72">
        <f t="shared" si="18"/>
        <v>14.10891089108911</v>
      </c>
      <c r="U58" s="73">
        <f>57*5</f>
        <v>285</v>
      </c>
      <c r="V58" s="73"/>
      <c r="W58" s="72"/>
      <c r="X58" s="72"/>
      <c r="Y58" s="72"/>
      <c r="Z58" s="72"/>
      <c r="AA58" s="72"/>
      <c r="AB58" s="72"/>
      <c r="AD58" s="74">
        <v>7.83</v>
      </c>
      <c r="AE58" s="95">
        <v>105.2</v>
      </c>
      <c r="AF58" s="95">
        <v>65.7</v>
      </c>
      <c r="AG58" s="95">
        <v>17.2</v>
      </c>
      <c r="AH58" s="87">
        <f t="shared" si="7"/>
        <v>39.5</v>
      </c>
      <c r="AS58" s="72"/>
      <c r="AT58" s="75">
        <f>46.5*5</f>
        <v>232.5</v>
      </c>
      <c r="AU58" s="75"/>
      <c r="AV58" s="75"/>
      <c r="AW58" s="75"/>
      <c r="AX58" s="72"/>
      <c r="AY58" s="72"/>
      <c r="AZ58" s="72"/>
      <c r="BA58" s="72"/>
      <c r="BC58" s="74">
        <v>7.39</v>
      </c>
      <c r="BD58" s="93">
        <v>104.2</v>
      </c>
      <c r="BE58" s="93">
        <v>63.5</v>
      </c>
      <c r="BF58" s="93">
        <v>16.600000000000001</v>
      </c>
      <c r="BG58" s="88">
        <f t="shared" si="13"/>
        <v>40.700000000000003</v>
      </c>
      <c r="BU58" s="72"/>
      <c r="BV58" s="72">
        <f>44*5</f>
        <v>220</v>
      </c>
      <c r="BW58" s="72"/>
      <c r="BX58" s="72"/>
      <c r="BY58" s="72"/>
      <c r="BZ58" s="72"/>
      <c r="CA58" s="72"/>
      <c r="CB58" s="72"/>
      <c r="CD58" s="74">
        <v>7.27</v>
      </c>
      <c r="CE58" s="69"/>
      <c r="CF58" s="69"/>
      <c r="CG58" s="69"/>
      <c r="CH58" s="69"/>
      <c r="CI58" s="76"/>
      <c r="CJ58" s="76"/>
      <c r="CK58" s="177"/>
      <c r="CL58" s="70"/>
      <c r="CM58" s="76"/>
      <c r="CN58" s="77"/>
      <c r="CO58" s="77"/>
      <c r="CP58" s="77"/>
      <c r="CQ58" s="77"/>
      <c r="CR58" s="77"/>
      <c r="CS58" s="66"/>
      <c r="CT58" s="66"/>
      <c r="CU58" s="66"/>
      <c r="CV58" s="66"/>
      <c r="CW58" s="66"/>
      <c r="CX58" s="66"/>
      <c r="CY58" s="66"/>
      <c r="CZ58" s="66"/>
      <c r="DA58" s="168"/>
      <c r="DB58" s="67"/>
      <c r="DC58" s="69"/>
      <c r="DD58" s="69"/>
      <c r="DE58" s="69"/>
      <c r="DF58" s="69"/>
      <c r="DG58" s="70"/>
      <c r="DH58" s="70"/>
      <c r="DI58" s="70"/>
      <c r="DJ58" s="177"/>
      <c r="DK58" s="177"/>
      <c r="DL58" s="70"/>
      <c r="DM58" s="70"/>
      <c r="DN58" s="71"/>
      <c r="DO58" s="71"/>
      <c r="DP58" s="180"/>
      <c r="DQ58" s="180"/>
      <c r="DR58" s="71"/>
      <c r="DS58" s="180"/>
      <c r="DT58" s="66"/>
      <c r="DU58" s="79"/>
      <c r="DV58" s="79"/>
      <c r="DW58" s="119"/>
      <c r="DX58" s="79"/>
      <c r="DY58" s="136"/>
      <c r="DZ58" s="168"/>
      <c r="EA58" s="74"/>
      <c r="EB58" s="78">
        <f t="shared" si="14"/>
        <v>14.729950900163669</v>
      </c>
      <c r="EC58" s="78">
        <f t="shared" si="15"/>
        <v>1.244167962674958</v>
      </c>
      <c r="ED58" s="78">
        <f t="shared" si="17"/>
        <v>17.821782178217816</v>
      </c>
      <c r="EE58" s="78">
        <f t="shared" si="16"/>
        <v>29.70639032815199</v>
      </c>
      <c r="EF58" s="79"/>
      <c r="EG58" s="66"/>
      <c r="EH58" s="138"/>
      <c r="EI58" s="139"/>
      <c r="EJ58" s="79"/>
      <c r="EK58" s="139"/>
      <c r="EL58" s="66"/>
      <c r="EM58" s="66"/>
      <c r="EN58" s="66"/>
      <c r="EO58" s="66"/>
      <c r="EP58" s="66"/>
    </row>
    <row r="59" spans="1:146" hidden="1" x14ac:dyDescent="0.3">
      <c r="A59" s="86">
        <v>44649</v>
      </c>
      <c r="B59" s="86"/>
      <c r="C59" s="93">
        <v>120.9</v>
      </c>
      <c r="D59" s="93">
        <v>52.7</v>
      </c>
      <c r="E59" s="93">
        <v>15.7</v>
      </c>
      <c r="F59" s="69">
        <f t="shared" si="0"/>
        <v>68.2</v>
      </c>
      <c r="T59" s="72">
        <f t="shared" si="18"/>
        <v>18.471337579617835</v>
      </c>
      <c r="U59" s="73">
        <f>58*5</f>
        <v>290</v>
      </c>
      <c r="V59" s="73"/>
      <c r="W59" s="72"/>
      <c r="X59" s="72"/>
      <c r="Y59" s="72"/>
      <c r="Z59" s="72"/>
      <c r="AA59" s="72"/>
      <c r="AB59" s="72"/>
      <c r="AD59" s="74">
        <v>7.59</v>
      </c>
      <c r="AE59" s="95">
        <v>101.7</v>
      </c>
      <c r="AF59" s="95">
        <v>51.5</v>
      </c>
      <c r="AG59" s="95">
        <v>12.9</v>
      </c>
      <c r="AH59" s="87">
        <f t="shared" si="7"/>
        <v>50.2</v>
      </c>
      <c r="AS59" s="72"/>
      <c r="AT59" s="75">
        <f>39.5*5</f>
        <v>197.5</v>
      </c>
      <c r="AU59" s="75"/>
      <c r="AV59" s="75"/>
      <c r="AW59" s="75"/>
      <c r="AX59" s="72"/>
      <c r="AY59" s="72"/>
      <c r="AZ59" s="72"/>
      <c r="BA59" s="72"/>
      <c r="BC59" s="74">
        <v>6.94</v>
      </c>
      <c r="BD59" s="93">
        <v>98.7</v>
      </c>
      <c r="BE59" s="93">
        <v>49.8</v>
      </c>
      <c r="BF59" s="93">
        <v>12.9</v>
      </c>
      <c r="BG59" s="88">
        <f t="shared" si="13"/>
        <v>48.900000000000006</v>
      </c>
      <c r="BU59" s="72"/>
      <c r="BV59" s="72">
        <f>42*5</f>
        <v>210</v>
      </c>
      <c r="BW59" s="72"/>
      <c r="BX59" s="72"/>
      <c r="BY59" s="72"/>
      <c r="BZ59" s="72"/>
      <c r="CA59" s="72"/>
      <c r="CB59" s="72"/>
      <c r="CD59" s="74">
        <v>7</v>
      </c>
      <c r="CE59" s="69"/>
      <c r="CF59" s="69"/>
      <c r="CG59" s="69"/>
      <c r="CH59" s="69"/>
      <c r="CI59" s="76"/>
      <c r="CJ59" s="76"/>
      <c r="CK59" s="177"/>
      <c r="CL59" s="70"/>
      <c r="CM59" s="76"/>
      <c r="CN59" s="77"/>
      <c r="CO59" s="77"/>
      <c r="CP59" s="77"/>
      <c r="CQ59" s="77"/>
      <c r="CR59" s="77"/>
      <c r="CS59" s="66"/>
      <c r="CT59" s="66"/>
      <c r="CU59" s="66"/>
      <c r="CV59" s="66"/>
      <c r="CW59" s="66"/>
      <c r="CX59" s="66"/>
      <c r="CY59" s="66"/>
      <c r="CZ59" s="66"/>
      <c r="DA59" s="168"/>
      <c r="DB59" s="67"/>
      <c r="DC59" s="69"/>
      <c r="DD59" s="69"/>
      <c r="DE59" s="69"/>
      <c r="DF59" s="69"/>
      <c r="DG59" s="70"/>
      <c r="DH59" s="70"/>
      <c r="DI59" s="70"/>
      <c r="DJ59" s="177"/>
      <c r="DK59" s="177"/>
      <c r="DL59" s="70"/>
      <c r="DM59" s="70"/>
      <c r="DN59" s="71"/>
      <c r="DO59" s="71"/>
      <c r="DP59" s="180"/>
      <c r="DQ59" s="180"/>
      <c r="DR59" s="71"/>
      <c r="DS59" s="180"/>
      <c r="DT59" s="66"/>
      <c r="DU59" s="79"/>
      <c r="DV59" s="79"/>
      <c r="DW59" s="119"/>
      <c r="DX59" s="79"/>
      <c r="DY59" s="136"/>
      <c r="DZ59" s="168"/>
      <c r="EA59" s="74"/>
      <c r="EB59" s="78">
        <f t="shared" si="14"/>
        <v>18.362282878411918</v>
      </c>
      <c r="EC59" s="78">
        <f t="shared" si="15"/>
        <v>5.5028462998102601</v>
      </c>
      <c r="ED59" s="78">
        <f t="shared" si="17"/>
        <v>17.834394904458595</v>
      </c>
      <c r="EE59" s="78">
        <f t="shared" si="16"/>
        <v>28.299120234604104</v>
      </c>
      <c r="EF59" s="79"/>
      <c r="EG59" s="66"/>
      <c r="EH59" s="138"/>
      <c r="EI59" s="139"/>
      <c r="EJ59" s="79"/>
      <c r="EK59" s="139"/>
      <c r="EL59" s="66"/>
      <c r="EM59" s="66"/>
      <c r="EN59" s="66"/>
      <c r="EO59" s="66"/>
      <c r="EP59" s="66"/>
    </row>
    <row r="60" spans="1:146" hidden="1" x14ac:dyDescent="0.3">
      <c r="A60" s="86">
        <v>44656</v>
      </c>
      <c r="B60" s="86"/>
      <c r="C60" s="96">
        <v>141.30000000000001</v>
      </c>
      <c r="D60" s="96">
        <v>54.1</v>
      </c>
      <c r="E60" s="96">
        <v>20.2</v>
      </c>
      <c r="F60" s="69">
        <f t="shared" si="0"/>
        <v>87.200000000000017</v>
      </c>
      <c r="T60" s="72">
        <f t="shared" si="18"/>
        <v>18.688118811881189</v>
      </c>
      <c r="U60" s="73">
        <f>75.5*5</f>
        <v>377.5</v>
      </c>
      <c r="V60" s="73"/>
      <c r="W60" s="72"/>
      <c r="X60" s="72"/>
      <c r="Y60" s="72"/>
      <c r="Z60" s="72"/>
      <c r="AA60" s="72"/>
      <c r="AB60" s="72"/>
      <c r="AD60" s="74">
        <v>7.4</v>
      </c>
      <c r="AE60" s="97">
        <v>110.6</v>
      </c>
      <c r="AF60" s="97">
        <v>45.1</v>
      </c>
      <c r="AG60" s="97">
        <v>13.6</v>
      </c>
      <c r="AH60" s="87">
        <f t="shared" si="7"/>
        <v>65.5</v>
      </c>
      <c r="AS60" s="72"/>
      <c r="AT60" s="75">
        <f>AVERAGE(58,53,57)*5</f>
        <v>280</v>
      </c>
      <c r="AU60" s="75"/>
      <c r="AV60" s="75"/>
      <c r="AW60" s="75"/>
      <c r="AX60" s="72"/>
      <c r="AY60" s="72"/>
      <c r="AZ60" s="72"/>
      <c r="BA60" s="72"/>
      <c r="BC60" s="74">
        <v>7.11</v>
      </c>
      <c r="BD60" s="96">
        <v>111.7</v>
      </c>
      <c r="BE60" s="96">
        <v>44.6</v>
      </c>
      <c r="BF60" s="96">
        <v>13.4</v>
      </c>
      <c r="BG60" s="88">
        <f t="shared" si="13"/>
        <v>67.099999999999994</v>
      </c>
      <c r="BU60" s="72"/>
      <c r="BV60" s="72">
        <f>60*5</f>
        <v>300</v>
      </c>
      <c r="BW60" s="72"/>
      <c r="BX60" s="72"/>
      <c r="BY60" s="72"/>
      <c r="BZ60" s="72"/>
      <c r="CA60" s="72"/>
      <c r="CB60" s="72"/>
      <c r="CD60" s="74">
        <v>7.16</v>
      </c>
      <c r="CE60" s="69"/>
      <c r="CF60" s="69"/>
      <c r="CG60" s="69"/>
      <c r="CH60" s="69"/>
      <c r="CI60" s="76"/>
      <c r="CJ60" s="76"/>
      <c r="CK60" s="177"/>
      <c r="CL60" s="70"/>
      <c r="CM60" s="76"/>
      <c r="CN60" s="77"/>
      <c r="CO60" s="77"/>
      <c r="CP60" s="77"/>
      <c r="CQ60" s="77"/>
      <c r="CR60" s="77"/>
      <c r="CS60" s="66"/>
      <c r="CT60" s="66"/>
      <c r="CU60" s="66"/>
      <c r="CV60" s="66"/>
      <c r="CW60" s="66"/>
      <c r="CX60" s="66"/>
      <c r="CY60" s="66"/>
      <c r="CZ60" s="66"/>
      <c r="DA60" s="168"/>
      <c r="DB60" s="67"/>
      <c r="DC60" s="69"/>
      <c r="DD60" s="69"/>
      <c r="DE60" s="69"/>
      <c r="DF60" s="69"/>
      <c r="DG60" s="70"/>
      <c r="DH60" s="70"/>
      <c r="DI60" s="70"/>
      <c r="DJ60" s="177"/>
      <c r="DK60" s="177"/>
      <c r="DL60" s="70"/>
      <c r="DM60" s="70"/>
      <c r="DN60" s="71"/>
      <c r="DO60" s="71"/>
      <c r="DP60" s="180"/>
      <c r="DQ60" s="180"/>
      <c r="DR60" s="71"/>
      <c r="DS60" s="180"/>
      <c r="DT60" s="66"/>
      <c r="DU60" s="79"/>
      <c r="DV60" s="79"/>
      <c r="DW60" s="119"/>
      <c r="DX60" s="79"/>
      <c r="DY60" s="136"/>
      <c r="DZ60" s="168"/>
      <c r="EA60" s="74"/>
      <c r="EB60" s="78">
        <f t="shared" si="14"/>
        <v>20.948336871903749</v>
      </c>
      <c r="EC60" s="78">
        <f t="shared" si="15"/>
        <v>17.560073937153419</v>
      </c>
      <c r="ED60" s="78">
        <f t="shared" si="17"/>
        <v>33.663366336633658</v>
      </c>
      <c r="EE60" s="78">
        <f t="shared" si="16"/>
        <v>23.050458715596356</v>
      </c>
      <c r="EF60" s="79"/>
      <c r="EG60" s="66"/>
      <c r="EH60" s="66"/>
      <c r="EI60" s="66"/>
      <c r="EJ60" s="79"/>
      <c r="EK60" s="66"/>
      <c r="EL60" s="66"/>
      <c r="EM60" s="66"/>
      <c r="EN60" s="66"/>
      <c r="EO60" s="66"/>
      <c r="EP60" s="66"/>
    </row>
    <row r="61" spans="1:146" hidden="1" x14ac:dyDescent="0.3">
      <c r="A61" s="86">
        <v>44663</v>
      </c>
      <c r="B61" s="86"/>
      <c r="C61" s="96">
        <v>112.93</v>
      </c>
      <c r="D61" s="93">
        <v>42.1</v>
      </c>
      <c r="E61" s="93">
        <v>17.14</v>
      </c>
      <c r="F61" s="69">
        <f t="shared" si="0"/>
        <v>70.830000000000013</v>
      </c>
      <c r="T61" s="72">
        <f t="shared" si="18"/>
        <v>16.627771295215869</v>
      </c>
      <c r="U61" s="73">
        <f>57*5</f>
        <v>285</v>
      </c>
      <c r="V61" s="73"/>
      <c r="W61" s="72"/>
      <c r="X61" s="72"/>
      <c r="Y61" s="72"/>
      <c r="Z61" s="72"/>
      <c r="AA61" s="72"/>
      <c r="AB61" s="72"/>
      <c r="AD61" s="74">
        <v>7.47</v>
      </c>
      <c r="AE61" s="97">
        <v>92.01</v>
      </c>
      <c r="AF61" s="97">
        <v>50.16</v>
      </c>
      <c r="AG61" s="97">
        <v>13.94</v>
      </c>
      <c r="AH61" s="87">
        <f t="shared" si="7"/>
        <v>41.850000000000009</v>
      </c>
      <c r="AS61" s="72"/>
      <c r="AT61" s="75">
        <f>38*5</f>
        <v>190</v>
      </c>
      <c r="AU61" s="75"/>
      <c r="AV61" s="75"/>
      <c r="AW61" s="75"/>
      <c r="AX61" s="72"/>
      <c r="AY61" s="72"/>
      <c r="AZ61" s="72"/>
      <c r="BA61" s="72"/>
      <c r="BC61" s="74">
        <v>6.78</v>
      </c>
      <c r="BD61" s="93">
        <v>97.92</v>
      </c>
      <c r="BE61" s="93">
        <v>53.2</v>
      </c>
      <c r="BF61" s="93">
        <v>13.67</v>
      </c>
      <c r="BG61" s="88">
        <f t="shared" si="13"/>
        <v>44.72</v>
      </c>
      <c r="BU61" s="72"/>
      <c r="BV61" s="72">
        <f>37*5</f>
        <v>185</v>
      </c>
      <c r="BW61" s="72"/>
      <c r="BX61" s="72"/>
      <c r="BY61" s="72"/>
      <c r="BZ61" s="72"/>
      <c r="CA61" s="72"/>
      <c r="CB61" s="72"/>
      <c r="CD61" s="74">
        <v>6.74</v>
      </c>
      <c r="CE61" s="69"/>
      <c r="CF61" s="69"/>
      <c r="CG61" s="69"/>
      <c r="CH61" s="69"/>
      <c r="CI61" s="76"/>
      <c r="CJ61" s="76"/>
      <c r="CK61" s="177"/>
      <c r="CL61" s="70"/>
      <c r="CM61" s="76"/>
      <c r="CN61" s="77"/>
      <c r="CO61" s="77"/>
      <c r="CP61" s="77"/>
      <c r="CQ61" s="77"/>
      <c r="CR61" s="77"/>
      <c r="CS61" s="66"/>
      <c r="CT61" s="66"/>
      <c r="CU61" s="66"/>
      <c r="CV61" s="66"/>
      <c r="CW61" s="66"/>
      <c r="CX61" s="66"/>
      <c r="CY61" s="66"/>
      <c r="CZ61" s="66"/>
      <c r="DA61" s="168"/>
      <c r="DB61" s="67"/>
      <c r="DC61" s="69"/>
      <c r="DD61" s="69"/>
      <c r="DE61" s="69"/>
      <c r="DF61" s="69"/>
      <c r="DG61" s="70"/>
      <c r="DH61" s="70"/>
      <c r="DI61" s="70"/>
      <c r="DJ61" s="177"/>
      <c r="DK61" s="177"/>
      <c r="DL61" s="70"/>
      <c r="DM61" s="70"/>
      <c r="DN61" s="71"/>
      <c r="DO61" s="71"/>
      <c r="DP61" s="180"/>
      <c r="DQ61" s="180"/>
      <c r="DR61" s="71"/>
      <c r="DS61" s="180"/>
      <c r="DT61" s="66"/>
      <c r="DU61" s="79"/>
      <c r="DV61" s="79"/>
      <c r="DW61" s="119"/>
      <c r="DX61" s="79"/>
      <c r="DY61" s="136"/>
      <c r="DZ61" s="168"/>
      <c r="EA61" s="74"/>
      <c r="EB61" s="78"/>
      <c r="EC61" s="78"/>
      <c r="ED61" s="78"/>
      <c r="EE61" s="78">
        <f t="shared" si="16"/>
        <v>36.862911195820992</v>
      </c>
      <c r="EF61" s="79"/>
      <c r="EG61" s="66"/>
      <c r="EH61" s="66"/>
      <c r="EI61" s="66"/>
      <c r="EJ61" s="79"/>
      <c r="EK61" s="66"/>
      <c r="EL61" s="66"/>
      <c r="EM61" s="66"/>
      <c r="EN61" s="66"/>
      <c r="EO61" s="66"/>
      <c r="EP61" s="66"/>
    </row>
    <row r="62" spans="1:146" s="85" customFormat="1" x14ac:dyDescent="0.3">
      <c r="A62" s="81">
        <v>44677</v>
      </c>
      <c r="B62" s="81"/>
      <c r="C62" s="96"/>
      <c r="D62" s="93"/>
      <c r="E62" s="93"/>
      <c r="F62" s="87"/>
      <c r="G62" s="70"/>
      <c r="H62" s="70"/>
      <c r="I62" s="70"/>
      <c r="J62" s="70"/>
      <c r="K62" s="70"/>
      <c r="L62" s="70"/>
      <c r="M62" s="70"/>
      <c r="N62" s="82"/>
      <c r="O62" s="82"/>
      <c r="P62" s="82"/>
      <c r="Q62" s="82"/>
      <c r="R62" s="82"/>
      <c r="S62" s="82"/>
      <c r="T62" s="82"/>
      <c r="U62" s="83"/>
      <c r="V62" s="83"/>
      <c r="W62" s="82"/>
      <c r="X62" s="82"/>
      <c r="Y62" s="82"/>
      <c r="Z62" s="82"/>
      <c r="AA62" s="82"/>
      <c r="AB62" s="82"/>
      <c r="AC62" s="168"/>
      <c r="AD62" s="74"/>
      <c r="AE62" s="96">
        <v>549.81925731186334</v>
      </c>
      <c r="AF62" s="96">
        <v>24.289156626506031</v>
      </c>
      <c r="AG62" s="96">
        <v>16.36019501003728</v>
      </c>
      <c r="AH62" s="87">
        <f t="shared" si="7"/>
        <v>525.5301006853573</v>
      </c>
      <c r="AI62" s="70"/>
      <c r="AJ62" s="70">
        <f>AE62/AG62</f>
        <v>33.607133470874835</v>
      </c>
      <c r="AK62" s="70"/>
      <c r="AL62" s="70"/>
      <c r="AM62" s="70"/>
      <c r="AN62" s="71"/>
      <c r="AO62" s="71"/>
      <c r="AP62" s="71"/>
      <c r="AQ62" s="71"/>
      <c r="AR62" s="71"/>
      <c r="AS62" s="82"/>
      <c r="AT62" s="84">
        <f>(92+89+92)/3*20</f>
        <v>1820</v>
      </c>
      <c r="AU62" s="84"/>
      <c r="AV62" s="84">
        <v>1820</v>
      </c>
      <c r="AW62" s="84"/>
      <c r="AX62" s="82">
        <v>34</v>
      </c>
      <c r="AY62" s="82"/>
      <c r="AZ62" s="82"/>
      <c r="BA62" s="82"/>
      <c r="BB62" s="168"/>
      <c r="BC62" s="74">
        <v>6.52</v>
      </c>
      <c r="BD62" s="93"/>
      <c r="BE62" s="93"/>
      <c r="BF62" s="93"/>
      <c r="BG62" s="88"/>
      <c r="BH62" s="70"/>
      <c r="BI62" s="70"/>
      <c r="BJ62" s="70"/>
      <c r="BK62" s="70"/>
      <c r="BL62" s="70"/>
      <c r="BM62" s="70"/>
      <c r="BN62" s="70"/>
      <c r="BO62" s="71"/>
      <c r="BP62" s="71"/>
      <c r="BQ62" s="71"/>
      <c r="BR62" s="71"/>
      <c r="BS62" s="71"/>
      <c r="BT62" s="71"/>
      <c r="BU62" s="82"/>
      <c r="BV62" s="82"/>
      <c r="BW62" s="82"/>
      <c r="BX62" s="82"/>
      <c r="BY62" s="82"/>
      <c r="BZ62" s="82"/>
      <c r="CA62" s="82"/>
      <c r="CB62" s="82"/>
      <c r="CC62" s="168"/>
      <c r="CD62" s="74"/>
      <c r="CE62" s="69"/>
      <c r="CF62" s="69"/>
      <c r="CG62" s="69"/>
      <c r="CH62" s="69"/>
      <c r="CI62" s="76"/>
      <c r="CJ62" s="76"/>
      <c r="CK62" s="177"/>
      <c r="CL62" s="70"/>
      <c r="CM62" s="76"/>
      <c r="CN62" s="77"/>
      <c r="CO62" s="77"/>
      <c r="CP62" s="77"/>
      <c r="CQ62" s="77"/>
      <c r="CR62" s="77"/>
      <c r="CS62" s="66"/>
      <c r="CT62" s="66"/>
      <c r="CU62" s="66"/>
      <c r="CV62" s="66"/>
      <c r="CW62" s="66"/>
      <c r="CX62" s="66"/>
      <c r="CY62" s="66"/>
      <c r="CZ62" s="66"/>
      <c r="DA62" s="168"/>
      <c r="DB62" s="67"/>
      <c r="DC62" s="69"/>
      <c r="DD62" s="69"/>
      <c r="DE62" s="69"/>
      <c r="DF62" s="69"/>
      <c r="DG62" s="70"/>
      <c r="DH62" s="70"/>
      <c r="DI62" s="70"/>
      <c r="DJ62" s="177"/>
      <c r="DK62" s="177"/>
      <c r="DL62" s="70"/>
      <c r="DM62" s="70"/>
      <c r="DN62" s="71"/>
      <c r="DO62" s="71"/>
      <c r="DP62" s="180"/>
      <c r="DQ62" s="180"/>
      <c r="DR62" s="71"/>
      <c r="DS62" s="180"/>
      <c r="DT62" s="66"/>
      <c r="DU62" s="79"/>
      <c r="DV62" s="79"/>
      <c r="DW62" s="119"/>
      <c r="DX62" s="79"/>
      <c r="DY62" s="136"/>
      <c r="DZ62" s="168"/>
      <c r="EA62" s="74"/>
      <c r="EB62" s="82"/>
      <c r="EC62" s="82"/>
      <c r="ED62" s="82"/>
      <c r="EE62" s="82"/>
      <c r="EF62" s="82" t="e">
        <f t="shared" ref="EF62:EF86" si="19">(U62-BV62)/U62*100</f>
        <v>#DIV/0!</v>
      </c>
      <c r="EG62" s="137"/>
      <c r="EH62" s="137"/>
      <c r="EI62" s="137"/>
      <c r="EJ62" s="82"/>
      <c r="EK62" s="137"/>
      <c r="EL62" s="137"/>
      <c r="EM62" s="137"/>
      <c r="EN62" s="137"/>
      <c r="EO62" s="137"/>
      <c r="EP62" s="137"/>
    </row>
    <row r="63" spans="1:146" x14ac:dyDescent="0.3">
      <c r="A63" s="86">
        <v>44678</v>
      </c>
      <c r="B63" s="86"/>
      <c r="C63" s="96"/>
      <c r="D63" s="93"/>
      <c r="E63" s="93"/>
      <c r="F63" s="96"/>
      <c r="T63" s="72"/>
      <c r="U63" s="73"/>
      <c r="V63" s="73"/>
      <c r="W63" s="72"/>
      <c r="X63" s="72"/>
      <c r="Y63" s="72"/>
      <c r="Z63" s="72"/>
      <c r="AA63" s="72"/>
      <c r="AB63" s="72"/>
      <c r="AE63" s="96">
        <v>488.89254025632601</v>
      </c>
      <c r="AF63" s="96">
        <v>128.11244979919681</v>
      </c>
      <c r="AG63" s="96">
        <v>15.210782907943791</v>
      </c>
      <c r="AH63" s="87">
        <f t="shared" si="7"/>
        <v>360.78009045712918</v>
      </c>
      <c r="AJ63" s="70">
        <f t="shared" ref="AJ63:AJ69" si="20">AE63/AG63</f>
        <v>32.14118189807332</v>
      </c>
      <c r="AS63" s="72"/>
      <c r="AT63" s="75"/>
      <c r="AU63" s="75"/>
      <c r="AV63" s="75">
        <f>3.1738*AH63+175.85</f>
        <v>1320.8938510928365</v>
      </c>
      <c r="AW63" s="75">
        <f>(AV62-AV63)/AV62*100</f>
        <v>27.423414775118875</v>
      </c>
      <c r="AX63" s="72"/>
      <c r="AY63" s="72"/>
      <c r="AZ63" s="72"/>
      <c r="BA63" s="72"/>
      <c r="BC63" s="74">
        <v>6.84</v>
      </c>
      <c r="BD63" s="93"/>
      <c r="BE63" s="93"/>
      <c r="BF63" s="93"/>
      <c r="BG63" s="88"/>
      <c r="BU63" s="72"/>
      <c r="BV63" s="72"/>
      <c r="BW63" s="72"/>
      <c r="BX63" s="72"/>
      <c r="BY63" s="72"/>
      <c r="BZ63" s="72"/>
      <c r="CA63" s="72"/>
      <c r="CB63" s="72"/>
      <c r="CE63" s="69"/>
      <c r="CF63" s="69"/>
      <c r="CG63" s="69"/>
      <c r="CH63" s="69"/>
      <c r="CI63" s="76"/>
      <c r="CJ63" s="76"/>
      <c r="CK63" s="177"/>
      <c r="CL63" s="70"/>
      <c r="CM63" s="76"/>
      <c r="CN63" s="77"/>
      <c r="CO63" s="77"/>
      <c r="CP63" s="77"/>
      <c r="CQ63" s="77"/>
      <c r="CR63" s="77"/>
      <c r="CS63" s="66"/>
      <c r="CT63" s="66"/>
      <c r="CU63" s="66"/>
      <c r="CV63" s="66"/>
      <c r="CW63" s="66"/>
      <c r="CX63" s="66"/>
      <c r="CY63" s="66"/>
      <c r="CZ63" s="66"/>
      <c r="DA63" s="168"/>
      <c r="DB63" s="67"/>
      <c r="DC63" s="69"/>
      <c r="DD63" s="69"/>
      <c r="DE63" s="69"/>
      <c r="DF63" s="69"/>
      <c r="DG63" s="70"/>
      <c r="DH63" s="70"/>
      <c r="DI63" s="70"/>
      <c r="DJ63" s="177"/>
      <c r="DK63" s="177"/>
      <c r="DL63" s="70"/>
      <c r="DM63" s="70"/>
      <c r="DN63" s="71"/>
      <c r="DO63" s="71"/>
      <c r="DP63" s="180"/>
      <c r="DQ63" s="180"/>
      <c r="DR63" s="71"/>
      <c r="DS63" s="180"/>
      <c r="DT63" s="66"/>
      <c r="DU63" s="79"/>
      <c r="DV63" s="79"/>
      <c r="DW63" s="119"/>
      <c r="DX63" s="79"/>
      <c r="DY63" s="136"/>
      <c r="DZ63" s="168"/>
      <c r="EA63" s="74"/>
      <c r="EB63" s="78"/>
      <c r="EC63" s="78"/>
      <c r="ED63" s="78"/>
      <c r="EE63" s="78"/>
      <c r="EF63" s="79" t="e">
        <f t="shared" si="19"/>
        <v>#DIV/0!</v>
      </c>
      <c r="EG63" s="66"/>
      <c r="EH63" s="66"/>
      <c r="EI63" s="66"/>
      <c r="EJ63" s="79"/>
      <c r="EK63" s="66"/>
      <c r="EL63" s="66"/>
      <c r="EM63" s="66"/>
      <c r="EN63" s="66"/>
      <c r="EO63" s="66"/>
      <c r="EP63" s="66"/>
    </row>
    <row r="64" spans="1:146" x14ac:dyDescent="0.3">
      <c r="A64" s="86">
        <v>44679</v>
      </c>
      <c r="B64" s="86"/>
      <c r="C64" s="96"/>
      <c r="D64" s="93"/>
      <c r="E64" s="93"/>
      <c r="F64" s="96"/>
      <c r="T64" s="72"/>
      <c r="U64" s="73"/>
      <c r="V64" s="73"/>
      <c r="W64" s="72"/>
      <c r="X64" s="72"/>
      <c r="Y64" s="72"/>
      <c r="Z64" s="72"/>
      <c r="AA64" s="72"/>
      <c r="AB64" s="72"/>
      <c r="AE64" s="96">
        <v>456.95037791652976</v>
      </c>
      <c r="AF64" s="96">
        <v>127.4698795180723</v>
      </c>
      <c r="AG64" s="96">
        <v>14.859764840837393</v>
      </c>
      <c r="AH64" s="87">
        <f t="shared" si="7"/>
        <v>329.48049839845748</v>
      </c>
      <c r="AJ64" s="70">
        <f t="shared" si="20"/>
        <v>30.750848537033729</v>
      </c>
      <c r="AS64" s="72"/>
      <c r="AT64" s="75"/>
      <c r="AU64" s="75"/>
      <c r="AV64" s="75">
        <f t="shared" ref="AV64:AV85" si="21">3.1738*AH64+175.85</f>
        <v>1221.5552058170242</v>
      </c>
      <c r="AW64" s="75">
        <f t="shared" ref="AW64:AW77" si="22">(AV63-AV64)/AV63*100</f>
        <v>7.5205623217660387</v>
      </c>
      <c r="AX64" s="72"/>
      <c r="AY64" s="72"/>
      <c r="AZ64" s="72"/>
      <c r="BA64" s="72"/>
      <c r="BC64" s="74">
        <v>6.61</v>
      </c>
      <c r="BD64" s="93"/>
      <c r="BE64" s="93"/>
      <c r="BF64" s="93"/>
      <c r="BG64" s="88"/>
      <c r="BU64" s="72"/>
      <c r="BV64" s="72"/>
      <c r="BW64" s="72"/>
      <c r="BX64" s="72"/>
      <c r="BY64" s="72"/>
      <c r="BZ64" s="72"/>
      <c r="CA64" s="72"/>
      <c r="CB64" s="72"/>
      <c r="CE64" s="69"/>
      <c r="CF64" s="69"/>
      <c r="CG64" s="69"/>
      <c r="CH64" s="69"/>
      <c r="CI64" s="76"/>
      <c r="CJ64" s="76"/>
      <c r="CK64" s="177"/>
      <c r="CL64" s="70"/>
      <c r="CM64" s="76"/>
      <c r="CN64" s="77"/>
      <c r="CO64" s="77"/>
      <c r="CP64" s="77"/>
      <c r="CQ64" s="77"/>
      <c r="CR64" s="77"/>
      <c r="CS64" s="66"/>
      <c r="CT64" s="66"/>
      <c r="CU64" s="66"/>
      <c r="CV64" s="66"/>
      <c r="CW64" s="66"/>
      <c r="CX64" s="66"/>
      <c r="CY64" s="66"/>
      <c r="CZ64" s="66"/>
      <c r="DA64" s="168"/>
      <c r="DB64" s="67"/>
      <c r="DC64" s="69"/>
      <c r="DD64" s="69"/>
      <c r="DE64" s="69"/>
      <c r="DF64" s="69"/>
      <c r="DG64" s="70"/>
      <c r="DH64" s="70"/>
      <c r="DI64" s="70"/>
      <c r="DJ64" s="177"/>
      <c r="DK64" s="177"/>
      <c r="DL64" s="70"/>
      <c r="DM64" s="70"/>
      <c r="DN64" s="71"/>
      <c r="DO64" s="71"/>
      <c r="DP64" s="180"/>
      <c r="DQ64" s="180"/>
      <c r="DR64" s="71"/>
      <c r="DS64" s="180"/>
      <c r="DT64" s="66"/>
      <c r="DU64" s="79"/>
      <c r="DV64" s="79"/>
      <c r="DW64" s="119"/>
      <c r="DX64" s="79"/>
      <c r="DY64" s="136"/>
      <c r="DZ64" s="168"/>
      <c r="EA64" s="74"/>
      <c r="EB64" s="78"/>
      <c r="EC64" s="78"/>
      <c r="ED64" s="78"/>
      <c r="EE64" s="78"/>
      <c r="EF64" s="79" t="e">
        <f t="shared" si="19"/>
        <v>#DIV/0!</v>
      </c>
      <c r="EG64" s="66"/>
      <c r="EH64" s="66"/>
      <c r="EI64" s="66"/>
      <c r="EJ64" s="79"/>
      <c r="EK64" s="66"/>
      <c r="EL64" s="66"/>
      <c r="EM64" s="66"/>
      <c r="EN64" s="66"/>
      <c r="EO64" s="66"/>
      <c r="EP64" s="66"/>
    </row>
    <row r="65" spans="1:146" x14ac:dyDescent="0.3">
      <c r="A65" s="86">
        <v>44680</v>
      </c>
      <c r="B65" s="86"/>
      <c r="C65" s="96"/>
      <c r="D65" s="93"/>
      <c r="E65" s="93"/>
      <c r="F65" s="96"/>
      <c r="T65" s="72"/>
      <c r="U65" s="73"/>
      <c r="V65" s="73"/>
      <c r="W65" s="72"/>
      <c r="X65" s="72"/>
      <c r="Y65" s="72"/>
      <c r="Z65" s="72"/>
      <c r="AA65" s="72"/>
      <c r="AB65" s="72"/>
      <c r="AE65" s="96">
        <v>423.13687952960487</v>
      </c>
      <c r="AF65" s="96">
        <v>149.97983057684553</v>
      </c>
      <c r="AG65" s="96">
        <v>17.273703041144902</v>
      </c>
      <c r="AH65" s="87">
        <f t="shared" si="7"/>
        <v>273.15704895275934</v>
      </c>
      <c r="AJ65" s="70">
        <f t="shared" si="20"/>
        <v>24.496014463240382</v>
      </c>
      <c r="AS65" s="72"/>
      <c r="AT65" s="75">
        <v>1050</v>
      </c>
      <c r="AU65" s="75"/>
      <c r="AV65" s="75">
        <f t="shared" si="21"/>
        <v>1042.7958419662675</v>
      </c>
      <c r="AW65" s="75">
        <f t="shared" si="22"/>
        <v>14.633752367433562</v>
      </c>
      <c r="AX65" s="72"/>
      <c r="AY65" s="72"/>
      <c r="AZ65" s="72"/>
      <c r="BA65" s="72"/>
      <c r="BC65" s="74">
        <v>6.74</v>
      </c>
      <c r="BD65" s="93"/>
      <c r="BE65" s="93"/>
      <c r="BF65" s="93"/>
      <c r="BG65" s="88"/>
      <c r="BU65" s="72"/>
      <c r="BV65" s="72"/>
      <c r="BW65" s="72"/>
      <c r="BX65" s="72"/>
      <c r="BY65" s="72"/>
      <c r="BZ65" s="72"/>
      <c r="CA65" s="72"/>
      <c r="CB65" s="72"/>
      <c r="CE65" s="69"/>
      <c r="CF65" s="69"/>
      <c r="CG65" s="69"/>
      <c r="CH65" s="69"/>
      <c r="CI65" s="76"/>
      <c r="CJ65" s="76"/>
      <c r="CK65" s="177"/>
      <c r="CL65" s="70"/>
      <c r="CM65" s="76"/>
      <c r="CN65" s="77"/>
      <c r="CO65" s="77"/>
      <c r="CP65" s="77"/>
      <c r="CQ65" s="77"/>
      <c r="CR65" s="77"/>
      <c r="CS65" s="66"/>
      <c r="CT65" s="66"/>
      <c r="CU65" s="66"/>
      <c r="CV65" s="66"/>
      <c r="CW65" s="66"/>
      <c r="CX65" s="66"/>
      <c r="CY65" s="66"/>
      <c r="CZ65" s="66"/>
      <c r="DA65" s="168"/>
      <c r="DB65" s="67"/>
      <c r="DC65" s="69"/>
      <c r="DD65" s="69"/>
      <c r="DE65" s="69"/>
      <c r="DF65" s="69"/>
      <c r="DG65" s="70"/>
      <c r="DH65" s="70"/>
      <c r="DI65" s="70"/>
      <c r="DJ65" s="177"/>
      <c r="DK65" s="177"/>
      <c r="DL65" s="70"/>
      <c r="DM65" s="70"/>
      <c r="DN65" s="71"/>
      <c r="DO65" s="71"/>
      <c r="DP65" s="180"/>
      <c r="DQ65" s="180"/>
      <c r="DR65" s="71"/>
      <c r="DS65" s="180"/>
      <c r="DT65" s="66"/>
      <c r="DU65" s="79"/>
      <c r="DV65" s="79"/>
      <c r="DW65" s="119"/>
      <c r="DX65" s="79"/>
      <c r="DY65" s="136"/>
      <c r="DZ65" s="168"/>
      <c r="EA65" s="74"/>
      <c r="EB65" s="78"/>
      <c r="EC65" s="78"/>
      <c r="ED65" s="78"/>
      <c r="EE65" s="78"/>
      <c r="EF65" s="79" t="e">
        <f t="shared" si="19"/>
        <v>#DIV/0!</v>
      </c>
      <c r="EG65" s="66"/>
      <c r="EH65" s="66"/>
      <c r="EI65" s="66"/>
      <c r="EJ65" s="79"/>
      <c r="EK65" s="66"/>
      <c r="EL65" s="66"/>
      <c r="EM65" s="66"/>
      <c r="EN65" s="66"/>
      <c r="EO65" s="66"/>
      <c r="EP65" s="66"/>
    </row>
    <row r="66" spans="1:146" x14ac:dyDescent="0.3">
      <c r="A66" s="81">
        <v>44680</v>
      </c>
      <c r="B66" s="81"/>
      <c r="C66" s="96"/>
      <c r="D66" s="93"/>
      <c r="E66" s="93"/>
      <c r="F66" s="96"/>
      <c r="T66" s="72"/>
      <c r="U66" s="73"/>
      <c r="V66" s="73"/>
      <c r="W66" s="72"/>
      <c r="X66" s="72"/>
      <c r="Y66" s="72"/>
      <c r="Z66" s="72"/>
      <c r="AA66" s="72"/>
      <c r="AB66" s="72"/>
      <c r="AE66" s="96"/>
      <c r="AF66" s="96"/>
      <c r="AG66" s="96"/>
      <c r="AH66" s="87"/>
      <c r="AS66" s="72"/>
      <c r="AT66" s="75"/>
      <c r="AU66" s="75"/>
      <c r="AV66" s="98"/>
      <c r="AW66" s="75"/>
      <c r="AX66" s="72"/>
      <c r="AY66" s="72"/>
      <c r="AZ66" s="72"/>
      <c r="BA66" s="72"/>
      <c r="BD66" s="93"/>
      <c r="BE66" s="93"/>
      <c r="BF66" s="93"/>
      <c r="BG66" s="88"/>
      <c r="BU66" s="72"/>
      <c r="BV66" s="72"/>
      <c r="BW66" s="72"/>
      <c r="BX66" s="72"/>
      <c r="BY66" s="72"/>
      <c r="BZ66" s="72"/>
      <c r="CA66" s="72"/>
      <c r="CB66" s="72"/>
      <c r="CE66" s="69"/>
      <c r="CF66" s="69"/>
      <c r="CG66" s="69"/>
      <c r="CH66" s="69"/>
      <c r="CI66" s="76"/>
      <c r="CJ66" s="76"/>
      <c r="CK66" s="177"/>
      <c r="CL66" s="70"/>
      <c r="CM66" s="76"/>
      <c r="CN66" s="77"/>
      <c r="CO66" s="77"/>
      <c r="CP66" s="77"/>
      <c r="CQ66" s="77"/>
      <c r="CR66" s="77"/>
      <c r="CS66" s="66"/>
      <c r="CT66" s="66"/>
      <c r="CU66" s="66"/>
      <c r="CV66" s="66"/>
      <c r="CW66" s="66"/>
      <c r="CX66" s="66"/>
      <c r="CY66" s="66"/>
      <c r="CZ66" s="66"/>
      <c r="DA66" s="168"/>
      <c r="DB66" s="67"/>
      <c r="DC66" s="69"/>
      <c r="DD66" s="69"/>
      <c r="DE66" s="69"/>
      <c r="DF66" s="69"/>
      <c r="DG66" s="70"/>
      <c r="DH66" s="70"/>
      <c r="DI66" s="70"/>
      <c r="DJ66" s="177"/>
      <c r="DK66" s="177"/>
      <c r="DL66" s="70"/>
      <c r="DM66" s="70"/>
      <c r="DN66" s="71"/>
      <c r="DO66" s="71"/>
      <c r="DP66" s="180"/>
      <c r="DQ66" s="180"/>
      <c r="DR66" s="71"/>
      <c r="DS66" s="180"/>
      <c r="DT66" s="66"/>
      <c r="DU66" s="79"/>
      <c r="DV66" s="79"/>
      <c r="DW66" s="119"/>
      <c r="DX66" s="79"/>
      <c r="DY66" s="136"/>
      <c r="DZ66" s="168"/>
      <c r="EA66" s="74"/>
      <c r="EB66" s="78"/>
      <c r="EC66" s="78"/>
      <c r="ED66" s="78"/>
      <c r="EE66" s="78"/>
      <c r="EF66" s="79" t="e">
        <f t="shared" si="19"/>
        <v>#DIV/0!</v>
      </c>
      <c r="EG66" s="66"/>
      <c r="EH66" s="66"/>
      <c r="EI66" s="66"/>
      <c r="EJ66" s="79"/>
      <c r="EK66" s="66"/>
      <c r="EL66" s="66"/>
      <c r="EM66" s="66"/>
      <c r="EN66" s="66"/>
      <c r="EO66" s="66"/>
      <c r="EP66" s="66"/>
    </row>
    <row r="67" spans="1:146" x14ac:dyDescent="0.3">
      <c r="A67" s="86">
        <v>44683</v>
      </c>
      <c r="B67" s="86"/>
      <c r="C67" s="96"/>
      <c r="D67" s="93"/>
      <c r="E67" s="93"/>
      <c r="F67" s="96"/>
      <c r="T67" s="72"/>
      <c r="U67" s="73"/>
      <c r="V67" s="73"/>
      <c r="W67" s="72"/>
      <c r="X67" s="72"/>
      <c r="Y67" s="72"/>
      <c r="Z67" s="72"/>
      <c r="AA67" s="72"/>
      <c r="AB67" s="72"/>
      <c r="AE67" s="96">
        <v>381.67646656638863</v>
      </c>
      <c r="AF67" s="96">
        <v>219.60467930617185</v>
      </c>
      <c r="AG67" s="96">
        <v>19.270125223613594</v>
      </c>
      <c r="AH67" s="87">
        <f t="shared" si="7"/>
        <v>162.07178726021678</v>
      </c>
      <c r="AJ67" s="70">
        <f t="shared" si="20"/>
        <v>19.80664173882392</v>
      </c>
      <c r="AS67" s="72"/>
      <c r="AT67" s="75">
        <v>630</v>
      </c>
      <c r="AU67" s="75"/>
      <c r="AV67" s="75">
        <f t="shared" si="21"/>
        <v>690.23343840647601</v>
      </c>
      <c r="AW67" s="75" t="e">
        <f t="shared" si="22"/>
        <v>#DIV/0!</v>
      </c>
      <c r="AX67" s="72"/>
      <c r="AY67" s="72"/>
      <c r="AZ67" s="72"/>
      <c r="BA67" s="72"/>
      <c r="BC67" s="74">
        <v>6.76</v>
      </c>
      <c r="BD67" s="93"/>
      <c r="BE67" s="93"/>
      <c r="BF67" s="93"/>
      <c r="BG67" s="88"/>
      <c r="BU67" s="72"/>
      <c r="BV67" s="72"/>
      <c r="BW67" s="72"/>
      <c r="BX67" s="72"/>
      <c r="BY67" s="72"/>
      <c r="BZ67" s="72"/>
      <c r="CA67" s="72"/>
      <c r="CB67" s="72"/>
      <c r="CE67" s="69"/>
      <c r="CF67" s="69"/>
      <c r="CG67" s="69"/>
      <c r="CH67" s="69"/>
      <c r="CI67" s="76"/>
      <c r="CJ67" s="76"/>
      <c r="CK67" s="177"/>
      <c r="CL67" s="70"/>
      <c r="CM67" s="76"/>
      <c r="CN67" s="77"/>
      <c r="CO67" s="77"/>
      <c r="CP67" s="77"/>
      <c r="CQ67" s="77"/>
      <c r="CR67" s="77"/>
      <c r="CS67" s="66"/>
      <c r="CT67" s="66"/>
      <c r="CU67" s="66"/>
      <c r="CV67" s="66"/>
      <c r="CW67" s="66"/>
      <c r="CX67" s="66"/>
      <c r="CY67" s="66"/>
      <c r="CZ67" s="66"/>
      <c r="DA67" s="168"/>
      <c r="DB67" s="67"/>
      <c r="DC67" s="69"/>
      <c r="DD67" s="69"/>
      <c r="DE67" s="69"/>
      <c r="DF67" s="69"/>
      <c r="DG67" s="70"/>
      <c r="DH67" s="70"/>
      <c r="DI67" s="70"/>
      <c r="DJ67" s="177"/>
      <c r="DK67" s="177"/>
      <c r="DL67" s="70"/>
      <c r="DM67" s="70"/>
      <c r="DN67" s="71"/>
      <c r="DO67" s="71"/>
      <c r="DP67" s="180"/>
      <c r="DQ67" s="180"/>
      <c r="DR67" s="71"/>
      <c r="DS67" s="180"/>
      <c r="DT67" s="66"/>
      <c r="DU67" s="79"/>
      <c r="DV67" s="79"/>
      <c r="DW67" s="119"/>
      <c r="DX67" s="79"/>
      <c r="DY67" s="136"/>
      <c r="DZ67" s="168"/>
      <c r="EA67" s="74"/>
      <c r="EB67" s="78"/>
      <c r="EC67" s="78"/>
      <c r="ED67" s="78"/>
      <c r="EE67" s="78"/>
      <c r="EF67" s="79" t="e">
        <f t="shared" si="19"/>
        <v>#DIV/0!</v>
      </c>
      <c r="EG67" s="66"/>
      <c r="EH67" s="66"/>
      <c r="EI67" s="66"/>
      <c r="EJ67" s="79"/>
      <c r="EK67" s="66"/>
      <c r="EL67" s="66"/>
      <c r="EM67" s="66"/>
      <c r="EN67" s="66"/>
      <c r="EO67" s="66"/>
      <c r="EP67" s="66"/>
    </row>
    <row r="68" spans="1:146" x14ac:dyDescent="0.3">
      <c r="A68" s="86">
        <v>44685</v>
      </c>
      <c r="B68" s="86"/>
      <c r="C68" s="96"/>
      <c r="D68" s="93"/>
      <c r="E68" s="93"/>
      <c r="F68" s="96"/>
      <c r="T68" s="72"/>
      <c r="U68" s="73"/>
      <c r="V68" s="73"/>
      <c r="W68" s="72"/>
      <c r="X68" s="72"/>
      <c r="Y68" s="72"/>
      <c r="Z68" s="72"/>
      <c r="AA68" s="72"/>
      <c r="AB68" s="72"/>
      <c r="AE68" s="96">
        <v>295.91139067414196</v>
      </c>
      <c r="AF68" s="96">
        <v>280.35498184751918</v>
      </c>
      <c r="AG68" s="96">
        <v>21.445438282647583</v>
      </c>
      <c r="AH68" s="87">
        <f t="shared" si="7"/>
        <v>15.556408826622771</v>
      </c>
      <c r="AJ68" s="70">
        <f t="shared" si="20"/>
        <v>13.798337286189971</v>
      </c>
      <c r="AS68" s="72"/>
      <c r="AT68" s="75">
        <v>220</v>
      </c>
      <c r="AU68" s="75"/>
      <c r="AV68" s="75">
        <f t="shared" si="21"/>
        <v>225.22293033393535</v>
      </c>
      <c r="AW68" s="75">
        <f t="shared" si="22"/>
        <v>67.370034860394242</v>
      </c>
      <c r="AX68" s="72"/>
      <c r="AY68" s="72"/>
      <c r="AZ68" s="72"/>
      <c r="BA68" s="72"/>
      <c r="BC68" s="74">
        <v>6.86</v>
      </c>
      <c r="BD68" s="93"/>
      <c r="BE68" s="93"/>
      <c r="BF68" s="93"/>
      <c r="BG68" s="88"/>
      <c r="BU68" s="72"/>
      <c r="BV68" s="72"/>
      <c r="BW68" s="72"/>
      <c r="BX68" s="72"/>
      <c r="BY68" s="72"/>
      <c r="BZ68" s="72"/>
      <c r="CA68" s="72"/>
      <c r="CB68" s="72"/>
      <c r="CE68" s="69"/>
      <c r="CF68" s="69"/>
      <c r="CG68" s="69"/>
      <c r="CH68" s="69"/>
      <c r="CI68" s="76"/>
      <c r="CJ68" s="76"/>
      <c r="CK68" s="177"/>
      <c r="CL68" s="70"/>
      <c r="CM68" s="76"/>
      <c r="CN68" s="77"/>
      <c r="CO68" s="77"/>
      <c r="CP68" s="77"/>
      <c r="CQ68" s="77"/>
      <c r="CR68" s="77"/>
      <c r="CS68" s="66"/>
      <c r="CT68" s="66"/>
      <c r="CU68" s="66"/>
      <c r="CV68" s="66"/>
      <c r="CW68" s="66"/>
      <c r="CX68" s="66"/>
      <c r="CY68" s="66"/>
      <c r="CZ68" s="66"/>
      <c r="DA68" s="168"/>
      <c r="DB68" s="67"/>
      <c r="DC68" s="69"/>
      <c r="DD68" s="69"/>
      <c r="DE68" s="69"/>
      <c r="DF68" s="69"/>
      <c r="DG68" s="70"/>
      <c r="DH68" s="70"/>
      <c r="DI68" s="70"/>
      <c r="DJ68" s="177"/>
      <c r="DK68" s="177"/>
      <c r="DL68" s="70"/>
      <c r="DM68" s="70"/>
      <c r="DN68" s="71"/>
      <c r="DO68" s="71"/>
      <c r="DP68" s="180"/>
      <c r="DQ68" s="180"/>
      <c r="DR68" s="71"/>
      <c r="DS68" s="180"/>
      <c r="DT68" s="66"/>
      <c r="DU68" s="79"/>
      <c r="DV68" s="79"/>
      <c r="DW68" s="119"/>
      <c r="DX68" s="79"/>
      <c r="DY68" s="136"/>
      <c r="DZ68" s="168"/>
      <c r="EA68" s="74"/>
      <c r="EB68" s="78"/>
      <c r="EC68" s="78"/>
      <c r="ED68" s="78"/>
      <c r="EE68" s="78"/>
      <c r="EF68" s="79" t="e">
        <f t="shared" si="19"/>
        <v>#DIV/0!</v>
      </c>
      <c r="EG68" s="66"/>
      <c r="EH68" s="66"/>
      <c r="EI68" s="66"/>
      <c r="EJ68" s="79"/>
      <c r="EK68" s="66"/>
      <c r="EL68" s="66"/>
      <c r="EM68" s="66"/>
      <c r="EN68" s="66"/>
      <c r="EO68" s="66"/>
      <c r="EP68" s="66"/>
    </row>
    <row r="69" spans="1:146" x14ac:dyDescent="0.3">
      <c r="A69" s="81">
        <v>44685</v>
      </c>
      <c r="B69" s="81"/>
      <c r="C69" s="96"/>
      <c r="D69" s="93"/>
      <c r="E69" s="93"/>
      <c r="F69" s="96"/>
      <c r="T69" s="72"/>
      <c r="U69" s="73"/>
      <c r="V69" s="73"/>
      <c r="W69" s="72"/>
      <c r="X69" s="72"/>
      <c r="Y69" s="72"/>
      <c r="Z69" s="72"/>
      <c r="AA69" s="72"/>
      <c r="AB69" s="72"/>
      <c r="AE69" s="96">
        <v>631.42349241077545</v>
      </c>
      <c r="AF69" s="96">
        <v>271.23840258168616</v>
      </c>
      <c r="AG69" s="96">
        <v>20.264758497316635</v>
      </c>
      <c r="AH69" s="87">
        <f t="shared" si="7"/>
        <v>360.18508982908929</v>
      </c>
      <c r="AJ69" s="70">
        <f t="shared" si="20"/>
        <v>31.15869811596253</v>
      </c>
      <c r="AS69" s="72"/>
      <c r="AT69" s="75">
        <v>1300</v>
      </c>
      <c r="AU69" s="75"/>
      <c r="AV69" s="75">
        <f t="shared" si="21"/>
        <v>1319.0054380995634</v>
      </c>
      <c r="AW69" s="75"/>
      <c r="AX69" s="72">
        <v>49</v>
      </c>
      <c r="AY69" s="72"/>
      <c r="AZ69" s="72"/>
      <c r="BA69" s="72"/>
      <c r="BC69" s="74">
        <v>6.92</v>
      </c>
      <c r="BD69" s="93"/>
      <c r="BE69" s="93"/>
      <c r="BF69" s="93"/>
      <c r="BG69" s="88"/>
      <c r="BU69" s="72"/>
      <c r="BV69" s="72"/>
      <c r="BW69" s="72"/>
      <c r="BX69" s="72"/>
      <c r="BY69" s="72"/>
      <c r="BZ69" s="72"/>
      <c r="CA69" s="72"/>
      <c r="CB69" s="72"/>
      <c r="CE69" s="69"/>
      <c r="CF69" s="69"/>
      <c r="CG69" s="69"/>
      <c r="CH69" s="69"/>
      <c r="CI69" s="76"/>
      <c r="CJ69" s="76"/>
      <c r="CK69" s="177"/>
      <c r="CL69" s="70"/>
      <c r="CM69" s="76"/>
      <c r="CN69" s="77"/>
      <c r="CO69" s="77"/>
      <c r="CP69" s="77"/>
      <c r="CQ69" s="77"/>
      <c r="CR69" s="77"/>
      <c r="CS69" s="66"/>
      <c r="CT69" s="66"/>
      <c r="CU69" s="66"/>
      <c r="CV69" s="66"/>
      <c r="CW69" s="66"/>
      <c r="CX69" s="66"/>
      <c r="CY69" s="66"/>
      <c r="CZ69" s="66"/>
      <c r="DA69" s="168"/>
      <c r="DB69" s="67"/>
      <c r="DC69" s="69"/>
      <c r="DD69" s="69"/>
      <c r="DE69" s="69"/>
      <c r="DF69" s="69"/>
      <c r="DG69" s="70"/>
      <c r="DH69" s="70"/>
      <c r="DI69" s="70"/>
      <c r="DJ69" s="177"/>
      <c r="DK69" s="177"/>
      <c r="DL69" s="70"/>
      <c r="DM69" s="70"/>
      <c r="DN69" s="71"/>
      <c r="DO69" s="71"/>
      <c r="DP69" s="180"/>
      <c r="DQ69" s="180"/>
      <c r="DR69" s="71"/>
      <c r="DS69" s="180"/>
      <c r="DT69" s="66"/>
      <c r="DU69" s="79"/>
      <c r="DV69" s="79"/>
      <c r="DW69" s="119"/>
      <c r="DX69" s="79"/>
      <c r="DY69" s="136"/>
      <c r="DZ69" s="168"/>
      <c r="EA69" s="74"/>
      <c r="EB69" s="78"/>
      <c r="EC69" s="78"/>
      <c r="ED69" s="78"/>
      <c r="EE69" s="78"/>
      <c r="EF69" s="79" t="e">
        <f t="shared" si="19"/>
        <v>#DIV/0!</v>
      </c>
      <c r="EG69" s="66"/>
      <c r="EH69" s="66"/>
      <c r="EI69" s="66"/>
      <c r="EJ69" s="79"/>
      <c r="EK69" s="66"/>
      <c r="EL69" s="66"/>
      <c r="EM69" s="66"/>
      <c r="EN69" s="66"/>
      <c r="EO69" s="66"/>
      <c r="EP69" s="66"/>
    </row>
    <row r="70" spans="1:146" x14ac:dyDescent="0.3">
      <c r="A70" s="86">
        <v>44686</v>
      </c>
      <c r="B70" s="86"/>
      <c r="C70" s="96"/>
      <c r="D70" s="93"/>
      <c r="E70" s="93"/>
      <c r="F70" s="96"/>
      <c r="T70" s="72"/>
      <c r="U70" s="73"/>
      <c r="V70" s="73"/>
      <c r="W70" s="72"/>
      <c r="X70" s="72"/>
      <c r="Y70" s="72"/>
      <c r="Z70" s="72"/>
      <c r="AA70" s="72"/>
      <c r="AB70" s="72"/>
      <c r="AE70" s="96">
        <v>302.86669237691217</v>
      </c>
      <c r="AF70" s="96">
        <v>225.01496110113703</v>
      </c>
      <c r="AG70" s="96">
        <v>17.615077926785069</v>
      </c>
      <c r="AH70" s="87">
        <f t="shared" si="7"/>
        <v>77.851731275775137</v>
      </c>
      <c r="AS70" s="72"/>
      <c r="AT70" s="75">
        <v>520</v>
      </c>
      <c r="AU70" s="75"/>
      <c r="AV70" s="75">
        <f t="shared" si="21"/>
        <v>422.93582472305513</v>
      </c>
      <c r="AW70" s="75">
        <f t="shared" si="22"/>
        <v>67.935247838521022</v>
      </c>
      <c r="AX70" s="72">
        <v>42</v>
      </c>
      <c r="AY70" s="72"/>
      <c r="AZ70" s="72"/>
      <c r="BA70" s="72"/>
      <c r="BC70" s="74">
        <v>6.64</v>
      </c>
      <c r="BD70" s="93"/>
      <c r="BE70" s="93"/>
      <c r="BF70" s="93"/>
      <c r="BG70" s="88"/>
      <c r="BU70" s="72"/>
      <c r="BV70" s="72"/>
      <c r="BW70" s="72"/>
      <c r="BX70" s="72"/>
      <c r="BY70" s="72"/>
      <c r="BZ70" s="72"/>
      <c r="CA70" s="72"/>
      <c r="CB70" s="72"/>
      <c r="CE70" s="69"/>
      <c r="CF70" s="69"/>
      <c r="CG70" s="69"/>
      <c r="CH70" s="69"/>
      <c r="CI70" s="76"/>
      <c r="CJ70" s="76"/>
      <c r="CK70" s="177"/>
      <c r="CL70" s="70"/>
      <c r="CM70" s="76"/>
      <c r="CN70" s="77"/>
      <c r="CO70" s="77"/>
      <c r="CP70" s="77"/>
      <c r="CQ70" s="77"/>
      <c r="CR70" s="77"/>
      <c r="CS70" s="66"/>
      <c r="CT70" s="66"/>
      <c r="CU70" s="66"/>
      <c r="CV70" s="66"/>
      <c r="CW70" s="66"/>
      <c r="CX70" s="66"/>
      <c r="CY70" s="66"/>
      <c r="CZ70" s="66"/>
      <c r="DA70" s="168"/>
      <c r="DB70" s="67"/>
      <c r="DC70" s="69"/>
      <c r="DD70" s="69"/>
      <c r="DE70" s="69"/>
      <c r="DF70" s="69"/>
      <c r="DG70" s="70"/>
      <c r="DH70" s="70"/>
      <c r="DI70" s="70"/>
      <c r="DJ70" s="177"/>
      <c r="DK70" s="177"/>
      <c r="DL70" s="70"/>
      <c r="DM70" s="70"/>
      <c r="DN70" s="71"/>
      <c r="DO70" s="71"/>
      <c r="DP70" s="180"/>
      <c r="DQ70" s="180"/>
      <c r="DR70" s="71"/>
      <c r="DS70" s="180"/>
      <c r="DT70" s="66"/>
      <c r="DU70" s="79"/>
      <c r="DV70" s="79"/>
      <c r="DW70" s="119"/>
      <c r="DX70" s="79"/>
      <c r="DY70" s="136"/>
      <c r="DZ70" s="168"/>
      <c r="EA70" s="74"/>
      <c r="EB70" s="78"/>
      <c r="EC70" s="78"/>
      <c r="ED70" s="78"/>
      <c r="EE70" s="78"/>
      <c r="EF70" s="79" t="e">
        <f t="shared" si="19"/>
        <v>#DIV/0!</v>
      </c>
      <c r="EG70" s="66"/>
      <c r="EH70" s="66"/>
      <c r="EI70" s="66"/>
      <c r="EJ70" s="79"/>
      <c r="EK70" s="66"/>
      <c r="EL70" s="66"/>
      <c r="EM70" s="66"/>
      <c r="EN70" s="66"/>
      <c r="EO70" s="66"/>
      <c r="EP70" s="66"/>
    </row>
    <row r="71" spans="1:146" x14ac:dyDescent="0.3">
      <c r="A71" s="86">
        <v>44687</v>
      </c>
      <c r="B71" s="86"/>
      <c r="C71" s="96"/>
      <c r="D71" s="93"/>
      <c r="E71" s="93"/>
      <c r="F71" s="96"/>
      <c r="T71" s="72"/>
      <c r="U71" s="73"/>
      <c r="V71" s="73"/>
      <c r="W71" s="72"/>
      <c r="X71" s="72"/>
      <c r="Y71" s="72"/>
      <c r="Z71" s="72"/>
      <c r="AA71" s="72"/>
      <c r="AB71" s="72"/>
      <c r="AE71" s="96">
        <v>278.59622059390665</v>
      </c>
      <c r="AF71" s="96">
        <v>263.79413524835428</v>
      </c>
      <c r="AG71" s="96">
        <v>20.384197172888726</v>
      </c>
      <c r="AH71" s="87">
        <f t="shared" si="7"/>
        <v>14.802085345552371</v>
      </c>
      <c r="AS71" s="72"/>
      <c r="AT71" s="75">
        <v>300</v>
      </c>
      <c r="AU71" s="75"/>
      <c r="AV71" s="75">
        <f t="shared" si="21"/>
        <v>222.82885846971411</v>
      </c>
      <c r="AW71" s="75">
        <f t="shared" si="22"/>
        <v>47.313789600200963</v>
      </c>
      <c r="AX71" s="72">
        <v>46</v>
      </c>
      <c r="AY71" s="72"/>
      <c r="AZ71" s="72"/>
      <c r="BA71" s="72"/>
      <c r="BC71" s="74">
        <v>6.94</v>
      </c>
      <c r="BD71" s="93"/>
      <c r="BE71" s="93"/>
      <c r="BF71" s="93"/>
      <c r="BG71" s="88"/>
      <c r="BU71" s="72"/>
      <c r="BV71" s="72"/>
      <c r="BW71" s="72"/>
      <c r="BX71" s="72"/>
      <c r="BY71" s="72"/>
      <c r="BZ71" s="72"/>
      <c r="CA71" s="72"/>
      <c r="CB71" s="72"/>
      <c r="CE71" s="69"/>
      <c r="CF71" s="69"/>
      <c r="CG71" s="69"/>
      <c r="CH71" s="69"/>
      <c r="CI71" s="76"/>
      <c r="CJ71" s="76"/>
      <c r="CK71" s="177"/>
      <c r="CL71" s="70"/>
      <c r="CM71" s="76"/>
      <c r="CN71" s="77"/>
      <c r="CO71" s="77"/>
      <c r="CP71" s="77"/>
      <c r="CQ71" s="77"/>
      <c r="CR71" s="77"/>
      <c r="CS71" s="66"/>
      <c r="CT71" s="66"/>
      <c r="CU71" s="66"/>
      <c r="CV71" s="66"/>
      <c r="CW71" s="66"/>
      <c r="CX71" s="66"/>
      <c r="CY71" s="66"/>
      <c r="CZ71" s="66"/>
      <c r="DA71" s="168"/>
      <c r="DB71" s="67"/>
      <c r="DC71" s="69"/>
      <c r="DD71" s="69"/>
      <c r="DE71" s="69"/>
      <c r="DF71" s="69"/>
      <c r="DG71" s="70"/>
      <c r="DH71" s="70"/>
      <c r="DI71" s="70"/>
      <c r="DJ71" s="177"/>
      <c r="DK71" s="177"/>
      <c r="DL71" s="70"/>
      <c r="DM71" s="70"/>
      <c r="DN71" s="71"/>
      <c r="DO71" s="71"/>
      <c r="DP71" s="180"/>
      <c r="DQ71" s="180"/>
      <c r="DR71" s="71"/>
      <c r="DS71" s="180"/>
      <c r="DT71" s="66"/>
      <c r="DU71" s="79"/>
      <c r="DV71" s="79"/>
      <c r="DW71" s="119"/>
      <c r="DX71" s="79"/>
      <c r="DY71" s="136"/>
      <c r="DZ71" s="168"/>
      <c r="EA71" s="74"/>
      <c r="EB71" s="78"/>
      <c r="EC71" s="78"/>
      <c r="ED71" s="78"/>
      <c r="EE71" s="78"/>
      <c r="EF71" s="79" t="e">
        <f t="shared" si="19"/>
        <v>#DIV/0!</v>
      </c>
      <c r="EG71" s="66"/>
      <c r="EH71" s="66"/>
      <c r="EI71" s="66"/>
      <c r="EJ71" s="79"/>
      <c r="EK71" s="66"/>
      <c r="EL71" s="66"/>
      <c r="EM71" s="66"/>
      <c r="EN71" s="66"/>
      <c r="EO71" s="66"/>
      <c r="EP71" s="66"/>
    </row>
    <row r="72" spans="1:146" x14ac:dyDescent="0.3">
      <c r="A72" s="86">
        <v>44687</v>
      </c>
      <c r="B72" s="86"/>
      <c r="C72" s="96"/>
      <c r="D72" s="93"/>
      <c r="E72" s="93"/>
      <c r="F72" s="96"/>
      <c r="T72" s="72"/>
      <c r="U72" s="73"/>
      <c r="V72" s="73"/>
      <c r="W72" s="72"/>
      <c r="X72" s="72"/>
      <c r="Y72" s="72"/>
      <c r="Z72" s="72"/>
      <c r="AA72" s="72"/>
      <c r="AB72" s="72"/>
      <c r="AE72" s="96">
        <v>662.81012983673986</v>
      </c>
      <c r="AF72" s="96">
        <v>253.02214242968284</v>
      </c>
      <c r="AG72" s="96">
        <v>19.441826748822038</v>
      </c>
      <c r="AH72" s="87">
        <f t="shared" si="7"/>
        <v>409.78798740705702</v>
      </c>
      <c r="AS72" s="72"/>
      <c r="AT72" s="98"/>
      <c r="AU72" s="98"/>
      <c r="AV72" s="75">
        <f t="shared" si="21"/>
        <v>1476.4351144325174</v>
      </c>
      <c r="AW72" s="75"/>
      <c r="AX72" s="72">
        <v>47</v>
      </c>
      <c r="AY72" s="72"/>
      <c r="AZ72" s="72"/>
      <c r="BA72" s="72"/>
      <c r="BC72" s="74">
        <v>6.66</v>
      </c>
      <c r="BD72" s="93"/>
      <c r="BE72" s="93"/>
      <c r="BF72" s="93"/>
      <c r="BG72" s="88"/>
      <c r="BU72" s="72"/>
      <c r="BV72" s="72"/>
      <c r="BW72" s="72"/>
      <c r="BX72" s="72"/>
      <c r="BY72" s="72"/>
      <c r="BZ72" s="72"/>
      <c r="CA72" s="72"/>
      <c r="CB72" s="72"/>
      <c r="CE72" s="69"/>
      <c r="CF72" s="69"/>
      <c r="CG72" s="69"/>
      <c r="CH72" s="69"/>
      <c r="CI72" s="76"/>
      <c r="CJ72" s="76"/>
      <c r="CK72" s="177"/>
      <c r="CL72" s="70"/>
      <c r="CM72" s="76"/>
      <c r="CN72" s="77"/>
      <c r="CO72" s="77"/>
      <c r="CP72" s="77"/>
      <c r="CQ72" s="77"/>
      <c r="CR72" s="77"/>
      <c r="CS72" s="66"/>
      <c r="CT72" s="66"/>
      <c r="CU72" s="66"/>
      <c r="CV72" s="66"/>
      <c r="CW72" s="66"/>
      <c r="CX72" s="66"/>
      <c r="CY72" s="66"/>
      <c r="CZ72" s="66"/>
      <c r="DA72" s="168"/>
      <c r="DB72" s="67"/>
      <c r="DC72" s="69"/>
      <c r="DD72" s="69"/>
      <c r="DE72" s="69"/>
      <c r="DF72" s="69"/>
      <c r="DG72" s="70"/>
      <c r="DH72" s="70"/>
      <c r="DI72" s="70"/>
      <c r="DJ72" s="177"/>
      <c r="DK72" s="177"/>
      <c r="DL72" s="70"/>
      <c r="DM72" s="70"/>
      <c r="DN72" s="71"/>
      <c r="DO72" s="71"/>
      <c r="DP72" s="180"/>
      <c r="DQ72" s="180"/>
      <c r="DR72" s="71"/>
      <c r="DS72" s="180"/>
      <c r="DT72" s="66"/>
      <c r="DU72" s="79"/>
      <c r="DV72" s="79"/>
      <c r="DW72" s="119"/>
      <c r="DX72" s="79"/>
      <c r="DY72" s="136"/>
      <c r="DZ72" s="168"/>
      <c r="EA72" s="74"/>
      <c r="EB72" s="78"/>
      <c r="EC72" s="78"/>
      <c r="ED72" s="78"/>
      <c r="EE72" s="78"/>
      <c r="EF72" s="79" t="e">
        <f t="shared" si="19"/>
        <v>#DIV/0!</v>
      </c>
      <c r="EG72" s="66"/>
      <c r="EH72" s="66"/>
      <c r="EI72" s="66"/>
      <c r="EJ72" s="79"/>
      <c r="EK72" s="66"/>
      <c r="EL72" s="66"/>
      <c r="EM72" s="66"/>
      <c r="EN72" s="66"/>
      <c r="EO72" s="66"/>
      <c r="EP72" s="66"/>
    </row>
    <row r="73" spans="1:146" x14ac:dyDescent="0.3">
      <c r="A73" s="86">
        <v>44690</v>
      </c>
      <c r="B73" s="86"/>
      <c r="C73" s="96"/>
      <c r="D73" s="93"/>
      <c r="E73" s="93"/>
      <c r="F73" s="96"/>
      <c r="T73" s="72"/>
      <c r="U73" s="73"/>
      <c r="V73" s="73"/>
      <c r="W73" s="72"/>
      <c r="X73" s="72"/>
      <c r="Y73" s="72"/>
      <c r="Z73" s="72"/>
      <c r="AA73" s="72"/>
      <c r="AB73" s="72"/>
      <c r="AE73" s="96">
        <v>260.42226487523988</v>
      </c>
      <c r="AF73" s="96">
        <v>291.60804517982757</v>
      </c>
      <c r="AG73" s="96">
        <v>22.858122001370802</v>
      </c>
      <c r="AH73" s="87">
        <f t="shared" si="7"/>
        <v>-31.185780304587695</v>
      </c>
      <c r="AS73" s="72"/>
      <c r="AT73" s="75">
        <v>130</v>
      </c>
      <c r="AU73" s="75"/>
      <c r="AV73" s="75">
        <f t="shared" si="21"/>
        <v>76.872570469299575</v>
      </c>
      <c r="AW73" s="75">
        <f t="shared" si="22"/>
        <v>94.793366148105591</v>
      </c>
      <c r="AX73" s="72"/>
      <c r="AY73" s="72"/>
      <c r="AZ73" s="72"/>
      <c r="BA73" s="72"/>
      <c r="BC73" s="74">
        <v>6.91</v>
      </c>
      <c r="BD73" s="93"/>
      <c r="BE73" s="93"/>
      <c r="BF73" s="93"/>
      <c r="BG73" s="88"/>
      <c r="BU73" s="72"/>
      <c r="BV73" s="72"/>
      <c r="BW73" s="72"/>
      <c r="BX73" s="72"/>
      <c r="BY73" s="72"/>
      <c r="BZ73" s="72"/>
      <c r="CA73" s="72"/>
      <c r="CB73" s="72"/>
      <c r="CE73" s="69"/>
      <c r="CF73" s="69"/>
      <c r="CG73" s="69"/>
      <c r="CH73" s="69"/>
      <c r="CI73" s="76"/>
      <c r="CJ73" s="76"/>
      <c r="CK73" s="177"/>
      <c r="CL73" s="70"/>
      <c r="CM73" s="76"/>
      <c r="CN73" s="77"/>
      <c r="CO73" s="77"/>
      <c r="CP73" s="77"/>
      <c r="CQ73" s="77"/>
      <c r="CR73" s="77"/>
      <c r="CS73" s="66"/>
      <c r="CT73" s="66"/>
      <c r="CU73" s="66"/>
      <c r="CV73" s="66"/>
      <c r="CW73" s="66"/>
      <c r="CX73" s="66"/>
      <c r="CY73" s="66"/>
      <c r="CZ73" s="66"/>
      <c r="DA73" s="168"/>
      <c r="DB73" s="67"/>
      <c r="DC73" s="69"/>
      <c r="DD73" s="69"/>
      <c r="DE73" s="69"/>
      <c r="DF73" s="69"/>
      <c r="DG73" s="70"/>
      <c r="DH73" s="70"/>
      <c r="DI73" s="70"/>
      <c r="DJ73" s="177"/>
      <c r="DK73" s="177"/>
      <c r="DL73" s="70"/>
      <c r="DM73" s="70"/>
      <c r="DN73" s="71"/>
      <c r="DO73" s="71"/>
      <c r="DP73" s="180"/>
      <c r="DQ73" s="180"/>
      <c r="DR73" s="71"/>
      <c r="DS73" s="180"/>
      <c r="DT73" s="66"/>
      <c r="DU73" s="79"/>
      <c r="DV73" s="79"/>
      <c r="DW73" s="119"/>
      <c r="DX73" s="79"/>
      <c r="DY73" s="136"/>
      <c r="DZ73" s="168"/>
      <c r="EA73" s="74"/>
      <c r="EB73" s="78"/>
      <c r="EC73" s="78"/>
      <c r="ED73" s="78"/>
      <c r="EE73" s="78"/>
      <c r="EF73" s="79" t="e">
        <f t="shared" si="19"/>
        <v>#DIV/0!</v>
      </c>
      <c r="EG73" s="66"/>
      <c r="EH73" s="66"/>
      <c r="EI73" s="66"/>
      <c r="EJ73" s="79"/>
      <c r="EK73" s="66"/>
      <c r="EL73" s="66"/>
      <c r="EM73" s="66"/>
      <c r="EN73" s="66"/>
      <c r="EO73" s="66"/>
      <c r="EP73" s="66"/>
    </row>
    <row r="74" spans="1:146" x14ac:dyDescent="0.3">
      <c r="A74" s="86">
        <v>44691</v>
      </c>
      <c r="B74" s="86"/>
      <c r="C74" s="96"/>
      <c r="D74" s="93"/>
      <c r="E74" s="93"/>
      <c r="F74" s="96"/>
      <c r="T74" s="72"/>
      <c r="U74" s="73"/>
      <c r="V74" s="73"/>
      <c r="W74" s="72"/>
      <c r="X74" s="72"/>
      <c r="Y74" s="72"/>
      <c r="Z74" s="72"/>
      <c r="AA74" s="72"/>
      <c r="AB74" s="72"/>
      <c r="AE74" s="96">
        <v>762.43122200895709</v>
      </c>
      <c r="AF74" s="96">
        <v>288.83384523927469</v>
      </c>
      <c r="AG74" s="96">
        <v>23.180260452364632</v>
      </c>
      <c r="AH74" s="87">
        <f t="shared" si="7"/>
        <v>473.5973767696824</v>
      </c>
      <c r="AS74" s="72"/>
      <c r="AT74" s="75"/>
      <c r="AU74" s="75"/>
      <c r="AV74" s="75">
        <f t="shared" si="21"/>
        <v>1678.9533543916179</v>
      </c>
      <c r="AW74" s="75"/>
      <c r="AX74" s="72">
        <v>65</v>
      </c>
      <c r="AY74" s="72"/>
      <c r="AZ74" s="72"/>
      <c r="BA74" s="72"/>
      <c r="BC74" s="74">
        <v>6.86</v>
      </c>
      <c r="BD74" s="93"/>
      <c r="BE74" s="93"/>
      <c r="BF74" s="93"/>
      <c r="BG74" s="88"/>
      <c r="BU74" s="72"/>
      <c r="BV74" s="72"/>
      <c r="BW74" s="72"/>
      <c r="BX74" s="72"/>
      <c r="BY74" s="72"/>
      <c r="BZ74" s="72"/>
      <c r="CA74" s="72"/>
      <c r="CB74" s="72"/>
      <c r="CE74" s="69"/>
      <c r="CF74" s="69"/>
      <c r="CG74" s="69"/>
      <c r="CH74" s="69"/>
      <c r="CI74" s="76"/>
      <c r="CJ74" s="76"/>
      <c r="CK74" s="177"/>
      <c r="CL74" s="70"/>
      <c r="CM74" s="76"/>
      <c r="CN74" s="77"/>
      <c r="CO74" s="77"/>
      <c r="CP74" s="77"/>
      <c r="CQ74" s="77"/>
      <c r="CR74" s="77"/>
      <c r="CS74" s="66"/>
      <c r="CT74" s="66"/>
      <c r="CU74" s="66"/>
      <c r="CV74" s="66"/>
      <c r="CW74" s="66"/>
      <c r="CX74" s="66"/>
      <c r="CY74" s="66"/>
      <c r="CZ74" s="66"/>
      <c r="DA74" s="168"/>
      <c r="DB74" s="67"/>
      <c r="DC74" s="69"/>
      <c r="DD74" s="69"/>
      <c r="DE74" s="69"/>
      <c r="DF74" s="69"/>
      <c r="DG74" s="70"/>
      <c r="DH74" s="70"/>
      <c r="DI74" s="70"/>
      <c r="DJ74" s="177"/>
      <c r="DK74" s="177"/>
      <c r="DL74" s="70"/>
      <c r="DM74" s="70"/>
      <c r="DN74" s="71"/>
      <c r="DO74" s="71"/>
      <c r="DP74" s="180"/>
      <c r="DQ74" s="180"/>
      <c r="DR74" s="71"/>
      <c r="DS74" s="180"/>
      <c r="DT74" s="66"/>
      <c r="DU74" s="79"/>
      <c r="DV74" s="79"/>
      <c r="DW74" s="119"/>
      <c r="DX74" s="79"/>
      <c r="DY74" s="136"/>
      <c r="DZ74" s="168"/>
      <c r="EA74" s="74"/>
      <c r="EB74" s="78"/>
      <c r="EC74" s="78"/>
      <c r="ED74" s="78"/>
      <c r="EE74" s="78"/>
      <c r="EF74" s="79" t="e">
        <f t="shared" si="19"/>
        <v>#DIV/0!</v>
      </c>
      <c r="EG74" s="66"/>
      <c r="EH74" s="66"/>
      <c r="EI74" s="66"/>
      <c r="EJ74" s="79"/>
      <c r="EK74" s="66"/>
      <c r="EL74" s="66"/>
      <c r="EM74" s="66"/>
      <c r="EN74" s="66"/>
      <c r="EO74" s="66"/>
      <c r="EP74" s="66"/>
    </row>
    <row r="75" spans="1:146" x14ac:dyDescent="0.3">
      <c r="A75" s="86">
        <v>44692</v>
      </c>
      <c r="B75" s="86"/>
      <c r="C75" s="96"/>
      <c r="D75" s="93"/>
      <c r="E75" s="93"/>
      <c r="F75" s="96"/>
      <c r="T75" s="72"/>
      <c r="U75" s="73"/>
      <c r="V75" s="73"/>
      <c r="W75" s="72"/>
      <c r="X75" s="72"/>
      <c r="Y75" s="72"/>
      <c r="Z75" s="72"/>
      <c r="AA75" s="72"/>
      <c r="AB75" s="72"/>
      <c r="AE75" s="96">
        <v>309.58121038896485</v>
      </c>
      <c r="AF75" s="96">
        <v>208.09835105863988</v>
      </c>
      <c r="AG75" s="96">
        <v>17.988165680473372</v>
      </c>
      <c r="AH75" s="87">
        <f t="shared" si="7"/>
        <v>101.48285933032497</v>
      </c>
      <c r="AS75" s="72">
        <v>25</v>
      </c>
      <c r="AT75" s="75">
        <v>590</v>
      </c>
      <c r="AU75" s="75"/>
      <c r="AV75" s="75">
        <f t="shared" si="21"/>
        <v>497.93629894258538</v>
      </c>
      <c r="AW75" s="75">
        <f t="shared" si="22"/>
        <v>70.342457838978106</v>
      </c>
      <c r="AX75" s="72"/>
      <c r="AY75" s="72"/>
      <c r="AZ75" s="72"/>
      <c r="BA75" s="72"/>
      <c r="BC75" s="74">
        <v>6.92</v>
      </c>
      <c r="BD75" s="93"/>
      <c r="BE75" s="93"/>
      <c r="BF75" s="93"/>
      <c r="BG75" s="88"/>
      <c r="BU75" s="72"/>
      <c r="BV75" s="72"/>
      <c r="BW75" s="72"/>
      <c r="BX75" s="72"/>
      <c r="BY75" s="72"/>
      <c r="BZ75" s="72"/>
      <c r="CA75" s="72"/>
      <c r="CB75" s="72"/>
      <c r="CE75" s="69"/>
      <c r="CF75" s="69"/>
      <c r="CG75" s="69"/>
      <c r="CH75" s="69"/>
      <c r="CI75" s="76"/>
      <c r="CJ75" s="76"/>
      <c r="CK75" s="177"/>
      <c r="CL75" s="70"/>
      <c r="CM75" s="76"/>
      <c r="CN75" s="77"/>
      <c r="CO75" s="77"/>
      <c r="CP75" s="77"/>
      <c r="CQ75" s="77"/>
      <c r="CR75" s="77"/>
      <c r="CS75" s="66"/>
      <c r="CT75" s="66"/>
      <c r="CU75" s="66"/>
      <c r="CV75" s="66"/>
      <c r="CW75" s="66"/>
      <c r="CX75" s="66"/>
      <c r="CY75" s="66"/>
      <c r="CZ75" s="66"/>
      <c r="DA75" s="168"/>
      <c r="DB75" s="67"/>
      <c r="DC75" s="69"/>
      <c r="DD75" s="69"/>
      <c r="DE75" s="69"/>
      <c r="DF75" s="69"/>
      <c r="DG75" s="70"/>
      <c r="DH75" s="70"/>
      <c r="DI75" s="70"/>
      <c r="DJ75" s="177"/>
      <c r="DK75" s="177"/>
      <c r="DL75" s="70"/>
      <c r="DM75" s="70"/>
      <c r="DN75" s="71"/>
      <c r="DO75" s="71"/>
      <c r="DP75" s="180"/>
      <c r="DQ75" s="180"/>
      <c r="DR75" s="71"/>
      <c r="DS75" s="180"/>
      <c r="DT75" s="66"/>
      <c r="DU75" s="79"/>
      <c r="DV75" s="79"/>
      <c r="DW75" s="119"/>
      <c r="DX75" s="79"/>
      <c r="DY75" s="136"/>
      <c r="DZ75" s="168"/>
      <c r="EA75" s="74"/>
      <c r="EB75" s="78"/>
      <c r="EC75" s="78"/>
      <c r="ED75" s="78"/>
      <c r="EE75" s="78"/>
      <c r="EF75" s="79" t="e">
        <f t="shared" si="19"/>
        <v>#DIV/0!</v>
      </c>
      <c r="EG75" s="66"/>
      <c r="EH75" s="66"/>
      <c r="EI75" s="66"/>
      <c r="EJ75" s="79"/>
      <c r="EK75" s="66"/>
      <c r="EL75" s="66"/>
      <c r="EM75" s="66"/>
      <c r="EN75" s="66"/>
      <c r="EO75" s="66"/>
      <c r="EP75" s="66"/>
    </row>
    <row r="76" spans="1:146" x14ac:dyDescent="0.3">
      <c r="A76" s="86">
        <v>44692</v>
      </c>
      <c r="B76" s="86"/>
      <c r="C76" s="96"/>
      <c r="D76" s="93"/>
      <c r="E76" s="93"/>
      <c r="F76" s="96"/>
      <c r="T76" s="72"/>
      <c r="U76" s="73"/>
      <c r="V76" s="73"/>
      <c r="W76" s="72"/>
      <c r="X76" s="72"/>
      <c r="Y76" s="72"/>
      <c r="Z76" s="72"/>
      <c r="AA76" s="72"/>
      <c r="AB76" s="72"/>
      <c r="AE76" s="96">
        <v>379.37119423387594</v>
      </c>
      <c r="AF76" s="96">
        <v>182.33974046248417</v>
      </c>
      <c r="AG76" s="96">
        <v>29.808960270498734</v>
      </c>
      <c r="AH76" s="87">
        <f t="shared" si="7"/>
        <v>197.03145377139177</v>
      </c>
      <c r="AS76" s="72"/>
      <c r="AT76" s="75">
        <v>740</v>
      </c>
      <c r="AU76" s="75"/>
      <c r="AV76" s="75">
        <f t="shared" si="21"/>
        <v>801.18842797964317</v>
      </c>
      <c r="AW76" s="75"/>
      <c r="AX76" s="72"/>
      <c r="AY76" s="72"/>
      <c r="AZ76" s="72"/>
      <c r="BA76" s="72"/>
      <c r="BC76" s="74">
        <v>7.05</v>
      </c>
      <c r="BD76" s="93"/>
      <c r="BE76" s="93"/>
      <c r="BF76" s="93"/>
      <c r="BG76" s="88"/>
      <c r="BU76" s="72"/>
      <c r="BV76" s="72"/>
      <c r="BW76" s="72"/>
      <c r="BX76" s="72"/>
      <c r="BY76" s="72"/>
      <c r="BZ76" s="72"/>
      <c r="CA76" s="72"/>
      <c r="CB76" s="72"/>
      <c r="CE76" s="69"/>
      <c r="CF76" s="69"/>
      <c r="CG76" s="69"/>
      <c r="CH76" s="69"/>
      <c r="CI76" s="76"/>
      <c r="CJ76" s="76"/>
      <c r="CK76" s="177"/>
      <c r="CL76" s="70"/>
      <c r="CM76" s="76"/>
      <c r="CN76" s="77"/>
      <c r="CO76" s="77"/>
      <c r="CP76" s="77"/>
      <c r="CQ76" s="77"/>
      <c r="CR76" s="77"/>
      <c r="CS76" s="66"/>
      <c r="CT76" s="66"/>
      <c r="CU76" s="66"/>
      <c r="CV76" s="66"/>
      <c r="CW76" s="66"/>
      <c r="CX76" s="66"/>
      <c r="CY76" s="66"/>
      <c r="CZ76" s="66"/>
      <c r="DA76" s="168"/>
      <c r="DB76" s="67"/>
      <c r="DC76" s="69"/>
      <c r="DD76" s="69"/>
      <c r="DE76" s="69"/>
      <c r="DF76" s="69"/>
      <c r="DG76" s="70"/>
      <c r="DH76" s="70"/>
      <c r="DI76" s="70"/>
      <c r="DJ76" s="177"/>
      <c r="DK76" s="177"/>
      <c r="DL76" s="70"/>
      <c r="DM76" s="70"/>
      <c r="DN76" s="71"/>
      <c r="DO76" s="71"/>
      <c r="DP76" s="180"/>
      <c r="DQ76" s="180"/>
      <c r="DR76" s="71"/>
      <c r="DS76" s="180"/>
      <c r="DT76" s="66"/>
      <c r="DU76" s="79"/>
      <c r="DV76" s="79"/>
      <c r="DW76" s="119"/>
      <c r="DX76" s="79"/>
      <c r="DY76" s="136"/>
      <c r="DZ76" s="168"/>
      <c r="EA76" s="74"/>
      <c r="EB76" s="78"/>
      <c r="EC76" s="78"/>
      <c r="ED76" s="78"/>
      <c r="EE76" s="78"/>
      <c r="EF76" s="79" t="e">
        <f t="shared" si="19"/>
        <v>#DIV/0!</v>
      </c>
      <c r="EG76" s="66"/>
      <c r="EH76" s="66"/>
      <c r="EI76" s="66"/>
      <c r="EJ76" s="79"/>
      <c r="EK76" s="66"/>
      <c r="EL76" s="66"/>
      <c r="EM76" s="66"/>
      <c r="EN76" s="66"/>
      <c r="EO76" s="66"/>
      <c r="EP76" s="66"/>
    </row>
    <row r="77" spans="1:146" x14ac:dyDescent="0.3">
      <c r="A77" s="86">
        <v>44693</v>
      </c>
      <c r="B77" s="86"/>
      <c r="C77" s="96"/>
      <c r="D77" s="93"/>
      <c r="E77" s="93"/>
      <c r="F77" s="96"/>
      <c r="T77" s="72"/>
      <c r="U77" s="73"/>
      <c r="V77" s="73"/>
      <c r="W77" s="72"/>
      <c r="X77" s="72"/>
      <c r="Y77" s="72"/>
      <c r="Z77" s="72"/>
      <c r="AA77" s="72"/>
      <c r="AB77" s="72"/>
      <c r="AE77" s="96">
        <v>280.94942214489879</v>
      </c>
      <c r="AF77" s="96">
        <v>219.65069762903696</v>
      </c>
      <c r="AG77" s="96">
        <v>17.913778529163146</v>
      </c>
      <c r="AH77" s="87">
        <f t="shared" si="7"/>
        <v>61.298724515861835</v>
      </c>
      <c r="AS77" s="72"/>
      <c r="AT77" s="75">
        <v>360</v>
      </c>
      <c r="AU77" s="75"/>
      <c r="AV77" s="75">
        <f t="shared" si="21"/>
        <v>370.3998918684423</v>
      </c>
      <c r="AW77" s="75">
        <f t="shared" si="22"/>
        <v>53.76869174178168</v>
      </c>
      <c r="AX77" s="72">
        <v>29</v>
      </c>
      <c r="AY77" s="72"/>
      <c r="AZ77" s="72"/>
      <c r="BA77" s="72"/>
      <c r="BC77" s="74">
        <v>6.78</v>
      </c>
      <c r="BD77" s="93"/>
      <c r="BE77" s="93"/>
      <c r="BF77" s="93"/>
      <c r="BG77" s="88"/>
      <c r="BU77" s="72"/>
      <c r="BV77" s="72">
        <v>400</v>
      </c>
      <c r="BW77" s="72"/>
      <c r="BX77" s="72"/>
      <c r="BY77" s="72"/>
      <c r="BZ77" s="72"/>
      <c r="CA77" s="72"/>
      <c r="CB77" s="72"/>
      <c r="CE77" s="69"/>
      <c r="CF77" s="69"/>
      <c r="CG77" s="69"/>
      <c r="CH77" s="69"/>
      <c r="CI77" s="76"/>
      <c r="CJ77" s="76"/>
      <c r="CK77" s="177"/>
      <c r="CL77" s="70"/>
      <c r="CM77" s="76"/>
      <c r="CN77" s="77"/>
      <c r="CO77" s="77"/>
      <c r="CP77" s="77"/>
      <c r="CQ77" s="77"/>
      <c r="CR77" s="77"/>
      <c r="CS77" s="66"/>
      <c r="CT77" s="66"/>
      <c r="CU77" s="66"/>
      <c r="CV77" s="66"/>
      <c r="CW77" s="66"/>
      <c r="CX77" s="66"/>
      <c r="CY77" s="66"/>
      <c r="CZ77" s="66"/>
      <c r="DA77" s="168"/>
      <c r="DB77" s="67"/>
      <c r="DC77" s="69"/>
      <c r="DD77" s="69"/>
      <c r="DE77" s="69"/>
      <c r="DF77" s="69"/>
      <c r="DG77" s="70"/>
      <c r="DH77" s="70"/>
      <c r="DI77" s="70"/>
      <c r="DJ77" s="177"/>
      <c r="DK77" s="177"/>
      <c r="DL77" s="70"/>
      <c r="DM77" s="70"/>
      <c r="DN77" s="71"/>
      <c r="DO77" s="71"/>
      <c r="DP77" s="180"/>
      <c r="DQ77" s="180"/>
      <c r="DR77" s="71"/>
      <c r="DS77" s="180"/>
      <c r="DT77" s="66"/>
      <c r="DU77" s="79"/>
      <c r="DV77" s="79"/>
      <c r="DW77" s="119"/>
      <c r="DX77" s="79"/>
      <c r="DY77" s="136"/>
      <c r="DZ77" s="168"/>
      <c r="EA77" s="74"/>
      <c r="EB77" s="78"/>
      <c r="EC77" s="78"/>
      <c r="ED77" s="78"/>
      <c r="EE77" s="78"/>
      <c r="EF77" s="79" t="e">
        <f t="shared" si="19"/>
        <v>#DIV/0!</v>
      </c>
      <c r="EG77" s="66"/>
      <c r="EH77" s="66"/>
      <c r="EI77" s="66"/>
      <c r="EJ77" s="79"/>
      <c r="EK77" s="66"/>
      <c r="EL77" s="66"/>
      <c r="EM77" s="66"/>
      <c r="EN77" s="66"/>
      <c r="EO77" s="66"/>
      <c r="EP77" s="66"/>
    </row>
    <row r="78" spans="1:146" x14ac:dyDescent="0.3">
      <c r="A78" s="86">
        <v>44693</v>
      </c>
      <c r="B78" s="86"/>
      <c r="C78" s="96"/>
      <c r="D78" s="93"/>
      <c r="E78" s="93"/>
      <c r="F78" s="96"/>
      <c r="T78" s="72"/>
      <c r="U78" s="73"/>
      <c r="V78" s="73"/>
      <c r="W78" s="72"/>
      <c r="X78" s="72"/>
      <c r="Y78" s="72"/>
      <c r="Z78" s="72"/>
      <c r="AA78" s="72"/>
      <c r="AB78" s="72"/>
      <c r="AE78" s="96">
        <v>281.64533366471971</v>
      </c>
      <c r="AF78" s="96">
        <v>210.7522685140014</v>
      </c>
      <c r="AG78" s="96">
        <v>18.089602704987318</v>
      </c>
      <c r="AH78" s="87">
        <f t="shared" si="7"/>
        <v>70.893065150718314</v>
      </c>
      <c r="AS78" s="72"/>
      <c r="AT78" s="75"/>
      <c r="AU78" s="75"/>
      <c r="AV78" s="75">
        <f t="shared" si="21"/>
        <v>400.85041017534979</v>
      </c>
      <c r="AW78" s="75"/>
      <c r="AX78" s="72"/>
      <c r="AY78" s="72"/>
      <c r="AZ78" s="72"/>
      <c r="BA78" s="72"/>
      <c r="BC78" s="74">
        <v>6.95</v>
      </c>
      <c r="BD78" s="93"/>
      <c r="BE78" s="93"/>
      <c r="BF78" s="93"/>
      <c r="BG78" s="88"/>
      <c r="BU78" s="72"/>
      <c r="BV78" s="72"/>
      <c r="BW78" s="72"/>
      <c r="BX78" s="72"/>
      <c r="BY78" s="72"/>
      <c r="BZ78" s="72"/>
      <c r="CA78" s="72"/>
      <c r="CB78" s="72"/>
      <c r="CE78" s="69"/>
      <c r="CF78" s="69"/>
      <c r="CG78" s="69"/>
      <c r="CH78" s="69"/>
      <c r="CI78" s="76"/>
      <c r="CJ78" s="76"/>
      <c r="CK78" s="177"/>
      <c r="CL78" s="70"/>
      <c r="CM78" s="76"/>
      <c r="CN78" s="77"/>
      <c r="CO78" s="77"/>
      <c r="CP78" s="77"/>
      <c r="CQ78" s="77"/>
      <c r="CR78" s="77"/>
      <c r="CS78" s="66"/>
      <c r="CT78" s="66"/>
      <c r="CU78" s="66"/>
      <c r="CV78" s="66"/>
      <c r="CW78" s="66"/>
      <c r="CX78" s="66"/>
      <c r="CY78" s="66"/>
      <c r="CZ78" s="66"/>
      <c r="DA78" s="168"/>
      <c r="DB78" s="67"/>
      <c r="DC78" s="69"/>
      <c r="DD78" s="69"/>
      <c r="DE78" s="69"/>
      <c r="DF78" s="69"/>
      <c r="DG78" s="70"/>
      <c r="DH78" s="70"/>
      <c r="DI78" s="70"/>
      <c r="DJ78" s="177"/>
      <c r="DK78" s="177"/>
      <c r="DL78" s="70"/>
      <c r="DM78" s="70"/>
      <c r="DN78" s="71"/>
      <c r="DO78" s="71"/>
      <c r="DP78" s="180"/>
      <c r="DQ78" s="180"/>
      <c r="DR78" s="71"/>
      <c r="DS78" s="180"/>
      <c r="DT78" s="66"/>
      <c r="DU78" s="79"/>
      <c r="DV78" s="79"/>
      <c r="DW78" s="119"/>
      <c r="DX78" s="79"/>
      <c r="DY78" s="136"/>
      <c r="DZ78" s="168"/>
      <c r="EA78" s="74"/>
      <c r="EB78" s="78"/>
      <c r="EC78" s="78"/>
      <c r="ED78" s="78"/>
      <c r="EE78" s="78"/>
      <c r="EF78" s="79" t="e">
        <f t="shared" si="19"/>
        <v>#DIV/0!</v>
      </c>
      <c r="EG78" s="66"/>
      <c r="EH78" s="66"/>
      <c r="EI78" s="66"/>
      <c r="EJ78" s="79"/>
      <c r="EK78" s="66"/>
      <c r="EL78" s="66"/>
      <c r="EM78" s="66"/>
      <c r="EN78" s="66"/>
      <c r="EO78" s="66"/>
      <c r="EP78" s="66"/>
    </row>
    <row r="79" spans="1:146" x14ac:dyDescent="0.3">
      <c r="A79" s="86">
        <v>44694</v>
      </c>
      <c r="B79" s="86"/>
      <c r="C79" s="96"/>
      <c r="D79" s="93"/>
      <c r="E79" s="93"/>
      <c r="F79" s="96"/>
      <c r="T79" s="72"/>
      <c r="U79" s="73"/>
      <c r="V79" s="73"/>
      <c r="W79" s="72"/>
      <c r="X79" s="72"/>
      <c r="Y79" s="72"/>
      <c r="Z79" s="72"/>
      <c r="AA79" s="72"/>
      <c r="AB79" s="72"/>
      <c r="AE79" s="96">
        <v>272.076105204253</v>
      </c>
      <c r="AF79" s="96">
        <v>299.28260613900972</v>
      </c>
      <c r="AG79" s="96">
        <v>18.350298350298353</v>
      </c>
      <c r="AH79" s="87">
        <f t="shared" si="7"/>
        <v>-27.206500934756718</v>
      </c>
      <c r="AI79" s="70">
        <v>29.500399999999999</v>
      </c>
      <c r="AK79" s="70">
        <v>0.1061</v>
      </c>
      <c r="AL79" s="70">
        <v>5.5467000000000004</v>
      </c>
      <c r="AM79" s="70">
        <v>0.68479999999999996</v>
      </c>
      <c r="AN79" s="71">
        <v>351.67689999999999</v>
      </c>
      <c r="AS79" s="72"/>
      <c r="AT79" s="75">
        <v>110</v>
      </c>
      <c r="AU79" s="75"/>
      <c r="AV79" s="75">
        <f t="shared" si="21"/>
        <v>89.50200733326912</v>
      </c>
      <c r="AW79" s="75"/>
      <c r="AX79" s="72"/>
      <c r="AY79" s="72"/>
      <c r="AZ79" s="72"/>
      <c r="BA79" s="72"/>
      <c r="BC79" s="74">
        <v>6.97</v>
      </c>
      <c r="BD79" s="93"/>
      <c r="BE79" s="93"/>
      <c r="BF79" s="93"/>
      <c r="BG79" s="88"/>
      <c r="BU79" s="72"/>
      <c r="BV79" s="72"/>
      <c r="BW79" s="72"/>
      <c r="BX79" s="72"/>
      <c r="BY79" s="72"/>
      <c r="BZ79" s="72"/>
      <c r="CA79" s="72"/>
      <c r="CB79" s="72"/>
      <c r="CE79" s="69"/>
      <c r="CF79" s="69"/>
      <c r="CG79" s="69"/>
      <c r="CH79" s="69"/>
      <c r="CI79" s="76"/>
      <c r="CJ79" s="76"/>
      <c r="CK79" s="177"/>
      <c r="CL79" s="70"/>
      <c r="CM79" s="76"/>
      <c r="CN79" s="77"/>
      <c r="CO79" s="77"/>
      <c r="CP79" s="77"/>
      <c r="CQ79" s="77"/>
      <c r="CR79" s="77"/>
      <c r="CS79" s="66"/>
      <c r="CT79" s="66"/>
      <c r="CU79" s="66"/>
      <c r="CV79" s="66"/>
      <c r="CW79" s="66"/>
      <c r="CX79" s="66"/>
      <c r="CY79" s="66"/>
      <c r="CZ79" s="66"/>
      <c r="DA79" s="168"/>
      <c r="DB79" s="67"/>
      <c r="DC79" s="69"/>
      <c r="DD79" s="69"/>
      <c r="DE79" s="69"/>
      <c r="DF79" s="69"/>
      <c r="DG79" s="70"/>
      <c r="DH79" s="70"/>
      <c r="DI79" s="70"/>
      <c r="DJ79" s="177"/>
      <c r="DK79" s="177"/>
      <c r="DL79" s="70"/>
      <c r="DM79" s="70"/>
      <c r="DN79" s="71"/>
      <c r="DO79" s="71"/>
      <c r="DP79" s="180"/>
      <c r="DQ79" s="180"/>
      <c r="DR79" s="71"/>
      <c r="DS79" s="180"/>
      <c r="DT79" s="66"/>
      <c r="DU79" s="79"/>
      <c r="DV79" s="79"/>
      <c r="DW79" s="119"/>
      <c r="DX79" s="79"/>
      <c r="DY79" s="136"/>
      <c r="DZ79" s="168"/>
      <c r="EA79" s="74"/>
      <c r="EB79" s="78"/>
      <c r="EC79" s="78"/>
      <c r="ED79" s="78"/>
      <c r="EE79" s="78"/>
      <c r="EF79" s="79" t="e">
        <f t="shared" si="19"/>
        <v>#DIV/0!</v>
      </c>
      <c r="EG79" s="66"/>
      <c r="EH79" s="66"/>
      <c r="EI79" s="66"/>
      <c r="EJ79" s="79"/>
      <c r="EK79" s="66"/>
      <c r="EL79" s="66"/>
      <c r="EM79" s="66"/>
      <c r="EN79" s="66"/>
      <c r="EO79" s="66"/>
      <c r="EP79" s="66"/>
    </row>
    <row r="80" spans="1:146" x14ac:dyDescent="0.3">
      <c r="A80" s="86">
        <v>44694</v>
      </c>
      <c r="B80" s="86"/>
      <c r="C80" s="96"/>
      <c r="D80" s="93"/>
      <c r="E80" s="93"/>
      <c r="F80" s="96"/>
      <c r="T80" s="72"/>
      <c r="U80" s="73"/>
      <c r="V80" s="73"/>
      <c r="W80" s="72"/>
      <c r="X80" s="72"/>
      <c r="Y80" s="72"/>
      <c r="Z80" s="72"/>
      <c r="AA80" s="72"/>
      <c r="AB80" s="72"/>
      <c r="AE80" s="96">
        <v>933.40794627867945</v>
      </c>
      <c r="AF80" s="96">
        <v>265.88262966011996</v>
      </c>
      <c r="AG80" s="96">
        <v>19.36819936819937</v>
      </c>
      <c r="AH80" s="87">
        <f t="shared" si="7"/>
        <v>667.52531661855949</v>
      </c>
      <c r="AS80" s="72"/>
      <c r="AT80" s="98"/>
      <c r="AU80" s="98"/>
      <c r="AV80" s="75">
        <f t="shared" si="21"/>
        <v>2294.4418498839841</v>
      </c>
      <c r="AW80" s="75"/>
      <c r="AX80" s="72"/>
      <c r="AY80" s="72"/>
      <c r="AZ80" s="72"/>
      <c r="BA80" s="72"/>
      <c r="BC80" s="74">
        <v>6.66</v>
      </c>
      <c r="BD80" s="93"/>
      <c r="BE80" s="93"/>
      <c r="BF80" s="93"/>
      <c r="BG80" s="88"/>
      <c r="BU80" s="72"/>
      <c r="BV80" s="72"/>
      <c r="BW80" s="72"/>
      <c r="BX80" s="72"/>
      <c r="BY80" s="72"/>
      <c r="BZ80" s="72"/>
      <c r="CA80" s="72"/>
      <c r="CB80" s="72"/>
      <c r="CE80" s="69"/>
      <c r="CF80" s="69"/>
      <c r="CG80" s="69"/>
      <c r="CH80" s="69"/>
      <c r="CI80" s="76"/>
      <c r="CJ80" s="76"/>
      <c r="CK80" s="177"/>
      <c r="CL80" s="70"/>
      <c r="CM80" s="76"/>
      <c r="CN80" s="77"/>
      <c r="CO80" s="77"/>
      <c r="CP80" s="77"/>
      <c r="CQ80" s="77"/>
      <c r="CR80" s="77"/>
      <c r="CS80" s="66"/>
      <c r="CT80" s="66"/>
      <c r="CU80" s="66"/>
      <c r="CV80" s="66"/>
      <c r="CW80" s="66"/>
      <c r="CX80" s="66"/>
      <c r="CY80" s="66"/>
      <c r="CZ80" s="66"/>
      <c r="DA80" s="168"/>
      <c r="DB80" s="67"/>
      <c r="DC80" s="69"/>
      <c r="DD80" s="69"/>
      <c r="DE80" s="69"/>
      <c r="DF80" s="69"/>
      <c r="DG80" s="70"/>
      <c r="DH80" s="70"/>
      <c r="DI80" s="70"/>
      <c r="DJ80" s="177"/>
      <c r="DK80" s="177"/>
      <c r="DL80" s="70"/>
      <c r="DM80" s="70"/>
      <c r="DN80" s="71"/>
      <c r="DO80" s="71"/>
      <c r="DP80" s="180"/>
      <c r="DQ80" s="180"/>
      <c r="DR80" s="71"/>
      <c r="DS80" s="180"/>
      <c r="DT80" s="66"/>
      <c r="DU80" s="79"/>
      <c r="DV80" s="79"/>
      <c r="DW80" s="119"/>
      <c r="DX80" s="79"/>
      <c r="DY80" s="136"/>
      <c r="DZ80" s="168"/>
      <c r="EA80" s="74"/>
      <c r="EB80" s="78"/>
      <c r="EC80" s="78"/>
      <c r="ED80" s="78"/>
      <c r="EE80" s="78"/>
      <c r="EF80" s="79" t="e">
        <f t="shared" si="19"/>
        <v>#DIV/0!</v>
      </c>
      <c r="EG80" s="66"/>
      <c r="EH80" s="66"/>
      <c r="EI80" s="66"/>
      <c r="EJ80" s="79"/>
      <c r="EK80" s="66"/>
      <c r="EL80" s="66"/>
      <c r="EM80" s="66"/>
      <c r="EN80" s="66"/>
      <c r="EO80" s="66"/>
      <c r="EP80" s="66"/>
    </row>
    <row r="81" spans="1:146" x14ac:dyDescent="0.3">
      <c r="A81" s="86">
        <v>44698</v>
      </c>
      <c r="B81" s="86"/>
      <c r="C81" s="96"/>
      <c r="D81" s="93"/>
      <c r="E81" s="93"/>
      <c r="F81" s="96"/>
      <c r="T81" s="72"/>
      <c r="U81" s="73"/>
      <c r="V81" s="73"/>
      <c r="W81" s="72"/>
      <c r="X81" s="72"/>
      <c r="Y81" s="72"/>
      <c r="Z81" s="72"/>
      <c r="AA81" s="72"/>
      <c r="AB81" s="72"/>
      <c r="AE81" s="96">
        <v>362.2831561275882</v>
      </c>
      <c r="AF81" s="96">
        <v>384.61719393155357</v>
      </c>
      <c r="AG81" s="96">
        <v>21.22850122850123</v>
      </c>
      <c r="AH81" s="87">
        <f t="shared" si="7"/>
        <v>-22.334037803965373</v>
      </c>
      <c r="AI81" s="70">
        <v>27.482900000000001</v>
      </c>
      <c r="AK81" s="70">
        <v>6.9623999999999997</v>
      </c>
      <c r="AL81" s="70">
        <v>12.2685</v>
      </c>
      <c r="AM81" s="70">
        <v>1.0197000000000001</v>
      </c>
      <c r="AN81" s="71">
        <v>339.49419999999998</v>
      </c>
      <c r="AS81" s="72"/>
      <c r="AT81" s="75">
        <v>60</v>
      </c>
      <c r="AU81" s="75"/>
      <c r="AV81" s="75">
        <f t="shared" si="21"/>
        <v>104.9662308177747</v>
      </c>
      <c r="AW81" s="75"/>
      <c r="AX81" s="72"/>
      <c r="AY81" s="72"/>
      <c r="AZ81" s="72"/>
      <c r="BA81" s="72"/>
      <c r="BC81" s="74">
        <v>7.14</v>
      </c>
      <c r="BD81" s="93">
        <v>390.26301063234479</v>
      </c>
      <c r="BE81" s="93">
        <v>376.90226978713395</v>
      </c>
      <c r="BF81" s="93">
        <v>22.260442260442261</v>
      </c>
      <c r="BG81" s="88">
        <f>BD81-BE81</f>
        <v>13.360740845210842</v>
      </c>
      <c r="BH81" s="70">
        <v>28.883900000000001</v>
      </c>
      <c r="BK81" s="70">
        <v>6.8383000000000003</v>
      </c>
      <c r="BM81" s="70">
        <v>16.015699999999999</v>
      </c>
      <c r="BN81" s="70">
        <v>0.32719999999999999</v>
      </c>
      <c r="BO81" s="71">
        <v>338.73340000000002</v>
      </c>
      <c r="BU81" s="72"/>
      <c r="BV81" s="72"/>
      <c r="BW81" s="72"/>
      <c r="BX81" s="72"/>
      <c r="BY81" s="72"/>
      <c r="BZ81" s="72"/>
      <c r="CA81" s="72"/>
      <c r="CB81" s="72"/>
      <c r="CE81" s="69"/>
      <c r="CF81" s="69"/>
      <c r="CG81" s="69"/>
      <c r="CH81" s="69"/>
      <c r="CI81" s="76"/>
      <c r="CJ81" s="76"/>
      <c r="CK81" s="177"/>
      <c r="CL81" s="70"/>
      <c r="CM81" s="76"/>
      <c r="CN81" s="77"/>
      <c r="CO81" s="77"/>
      <c r="CP81" s="77"/>
      <c r="CQ81" s="77"/>
      <c r="CR81" s="77"/>
      <c r="CS81" s="66"/>
      <c r="CT81" s="66"/>
      <c r="CU81" s="66"/>
      <c r="CV81" s="66"/>
      <c r="CW81" s="66"/>
      <c r="CX81" s="66"/>
      <c r="CY81" s="66"/>
      <c r="CZ81" s="66"/>
      <c r="DA81" s="168"/>
      <c r="DB81" s="67"/>
      <c r="DC81" s="69"/>
      <c r="DD81" s="69"/>
      <c r="DE81" s="69"/>
      <c r="DF81" s="69"/>
      <c r="DG81" s="70"/>
      <c r="DH81" s="70"/>
      <c r="DI81" s="70"/>
      <c r="DJ81" s="177"/>
      <c r="DK81" s="177"/>
      <c r="DL81" s="70"/>
      <c r="DM81" s="70"/>
      <c r="DN81" s="71"/>
      <c r="DO81" s="71"/>
      <c r="DP81" s="180"/>
      <c r="DQ81" s="180"/>
      <c r="DR81" s="71"/>
      <c r="DS81" s="180"/>
      <c r="DT81" s="66"/>
      <c r="DU81" s="79"/>
      <c r="DV81" s="79"/>
      <c r="DW81" s="119"/>
      <c r="DX81" s="79"/>
      <c r="DY81" s="136"/>
      <c r="DZ81" s="168"/>
      <c r="EA81" s="74"/>
      <c r="EB81" s="78"/>
      <c r="EC81" s="78"/>
      <c r="ED81" s="78"/>
      <c r="EE81" s="78"/>
      <c r="EF81" s="79" t="e">
        <f t="shared" si="19"/>
        <v>#DIV/0!</v>
      </c>
      <c r="EG81" s="66"/>
      <c r="EH81" s="66"/>
      <c r="EI81" s="66"/>
      <c r="EJ81" s="79"/>
      <c r="EK81" s="66"/>
      <c r="EL81" s="66"/>
      <c r="EM81" s="66"/>
      <c r="EN81" s="66"/>
      <c r="EO81" s="66"/>
      <c r="EP81" s="66"/>
    </row>
    <row r="82" spans="1:146" x14ac:dyDescent="0.3">
      <c r="A82" s="86">
        <v>44698</v>
      </c>
      <c r="B82" s="86"/>
      <c r="C82" s="96"/>
      <c r="D82" s="93"/>
      <c r="E82" s="93"/>
      <c r="F82" s="96"/>
      <c r="T82" s="72"/>
      <c r="U82" s="73"/>
      <c r="V82" s="73"/>
      <c r="W82" s="72"/>
      <c r="X82" s="72"/>
      <c r="Y82" s="72"/>
      <c r="Z82" s="72"/>
      <c r="AA82" s="72"/>
      <c r="AB82" s="72"/>
      <c r="AE82" s="96">
        <v>479.91046446558482</v>
      </c>
      <c r="AF82" s="96">
        <v>401.27013995060565</v>
      </c>
      <c r="AG82" s="96">
        <v>21.495261495261495</v>
      </c>
      <c r="AH82" s="87">
        <f t="shared" si="7"/>
        <v>78.64032451497917</v>
      </c>
      <c r="AK82" s="70">
        <v>7.5899999999999995E-2</v>
      </c>
      <c r="AS82" s="72"/>
      <c r="AT82" s="75">
        <v>290</v>
      </c>
      <c r="AU82" s="75"/>
      <c r="AV82" s="75">
        <f t="shared" si="21"/>
        <v>425.43866194564089</v>
      </c>
      <c r="AW82" s="75"/>
      <c r="AX82" s="72"/>
      <c r="AY82" s="72"/>
      <c r="AZ82" s="72"/>
      <c r="BA82" s="72"/>
      <c r="BC82" s="74">
        <v>7.08</v>
      </c>
      <c r="BD82" s="93"/>
      <c r="BE82" s="93"/>
      <c r="BF82" s="93"/>
      <c r="BG82" s="88"/>
      <c r="BK82" s="70">
        <v>7.7499999999999999E-2</v>
      </c>
      <c r="BU82" s="72"/>
      <c r="BV82" s="72"/>
      <c r="BW82" s="72"/>
      <c r="BX82" s="72"/>
      <c r="BY82" s="72"/>
      <c r="BZ82" s="72"/>
      <c r="CA82" s="72"/>
      <c r="CB82" s="72"/>
      <c r="CD82" s="74">
        <v>7.26</v>
      </c>
      <c r="CE82" s="69"/>
      <c r="CF82" s="69"/>
      <c r="CG82" s="69"/>
      <c r="CH82" s="69"/>
      <c r="CI82" s="76"/>
      <c r="CJ82" s="76"/>
      <c r="CK82" s="177"/>
      <c r="CL82" s="70"/>
      <c r="CM82" s="76"/>
      <c r="CN82" s="77"/>
      <c r="CO82" s="77"/>
      <c r="CP82" s="77"/>
      <c r="CQ82" s="77"/>
      <c r="CR82" s="77"/>
      <c r="CS82" s="66"/>
      <c r="CT82" s="66"/>
      <c r="CU82" s="66"/>
      <c r="CV82" s="66"/>
      <c r="CW82" s="66"/>
      <c r="CX82" s="66"/>
      <c r="CY82" s="66"/>
      <c r="CZ82" s="66"/>
      <c r="DA82" s="168"/>
      <c r="DB82" s="67"/>
      <c r="DC82" s="69"/>
      <c r="DD82" s="69"/>
      <c r="DE82" s="69"/>
      <c r="DF82" s="69"/>
      <c r="DG82" s="70"/>
      <c r="DH82" s="70"/>
      <c r="DI82" s="70"/>
      <c r="DJ82" s="177"/>
      <c r="DK82" s="177"/>
      <c r="DL82" s="70"/>
      <c r="DM82" s="70"/>
      <c r="DN82" s="71"/>
      <c r="DO82" s="71"/>
      <c r="DP82" s="180"/>
      <c r="DQ82" s="180"/>
      <c r="DR82" s="71"/>
      <c r="DS82" s="180"/>
      <c r="DT82" s="66"/>
      <c r="DU82" s="79"/>
      <c r="DV82" s="79"/>
      <c r="DW82" s="119"/>
      <c r="DX82" s="79"/>
      <c r="DY82" s="136"/>
      <c r="DZ82" s="168"/>
      <c r="EA82" s="74"/>
      <c r="EB82" s="78"/>
      <c r="EC82" s="78"/>
      <c r="ED82" s="78"/>
      <c r="EE82" s="78"/>
      <c r="EF82" s="79" t="e">
        <f t="shared" si="19"/>
        <v>#DIV/0!</v>
      </c>
      <c r="EG82" s="66"/>
      <c r="EH82" s="66"/>
      <c r="EI82" s="66"/>
      <c r="EJ82" s="79"/>
      <c r="EK82" s="66"/>
      <c r="EL82" s="66"/>
      <c r="EM82" s="66"/>
      <c r="EN82" s="66"/>
      <c r="EO82" s="66"/>
      <c r="EP82" s="66"/>
    </row>
    <row r="83" spans="1:146" x14ac:dyDescent="0.3">
      <c r="A83" s="99">
        <v>44699</v>
      </c>
      <c r="B83" s="100">
        <v>0</v>
      </c>
      <c r="C83" s="96">
        <v>94.461729931549471</v>
      </c>
      <c r="D83" s="93">
        <v>56.800671294530474</v>
      </c>
      <c r="E83" s="93">
        <v>21.355634832446341</v>
      </c>
      <c r="F83" s="69">
        <f t="shared" ref="F83:F143" si="23">C83-D83</f>
        <v>37.661058637018996</v>
      </c>
      <c r="G83" s="70">
        <v>39.900399999999998</v>
      </c>
      <c r="J83" s="70">
        <v>1.4159999999999999</v>
      </c>
      <c r="L83" s="70">
        <v>6.7836999999999996</v>
      </c>
      <c r="M83" s="70">
        <v>64.815200000000004</v>
      </c>
      <c r="N83" s="71">
        <v>38.0214</v>
      </c>
      <c r="T83" s="72"/>
      <c r="U83" s="73">
        <v>140</v>
      </c>
      <c r="V83" s="73"/>
      <c r="W83" s="72">
        <f t="shared" ref="W83:W93" si="24">3.5492*F83 + 14.154</f>
        <v>147.82062931450781</v>
      </c>
      <c r="X83" s="72">
        <v>73</v>
      </c>
      <c r="Y83" s="72"/>
      <c r="Z83" s="72"/>
      <c r="AA83" s="72"/>
      <c r="AB83" s="72"/>
      <c r="AD83" s="74">
        <v>7.68</v>
      </c>
      <c r="AE83" s="96">
        <v>305.84051915725843</v>
      </c>
      <c r="AF83" s="96">
        <v>333.75543519719281</v>
      </c>
      <c r="AG83" s="96">
        <v>19.095853558687644</v>
      </c>
      <c r="AH83" s="87">
        <f t="shared" si="7"/>
        <v>-27.914916039934383</v>
      </c>
      <c r="AI83" s="70">
        <v>26.039000000000001</v>
      </c>
      <c r="AK83" s="70">
        <v>6.0731999999999999</v>
      </c>
      <c r="AM83" s="70">
        <v>0.46529999999999999</v>
      </c>
      <c r="AN83" s="71">
        <v>336.63720000000001</v>
      </c>
      <c r="AS83" s="72"/>
      <c r="AT83" s="75">
        <v>30</v>
      </c>
      <c r="AU83" s="75"/>
      <c r="AV83" s="75">
        <f t="shared" si="21"/>
        <v>87.253639472456257</v>
      </c>
      <c r="AW83" s="75"/>
      <c r="AX83" s="72">
        <v>41</v>
      </c>
      <c r="AY83" s="72"/>
      <c r="AZ83" s="72"/>
      <c r="BA83" s="72"/>
      <c r="BC83" s="74">
        <v>6.96</v>
      </c>
      <c r="BD83" s="93">
        <v>338.1633923015379</v>
      </c>
      <c r="BE83" s="93">
        <v>334.85391715615219</v>
      </c>
      <c r="BF83" s="93">
        <v>18.632668577109769</v>
      </c>
      <c r="BG83" s="88">
        <f t="shared" ref="BG83:BG143" si="25">BD83-BE83</f>
        <v>3.3094751453857043</v>
      </c>
      <c r="BH83" s="70">
        <v>25.927600000000002</v>
      </c>
      <c r="BK83" s="70">
        <v>6.5296000000000003</v>
      </c>
      <c r="BM83" s="70">
        <v>0.32479999999999998</v>
      </c>
      <c r="BN83" s="70">
        <v>0.19500000000000001</v>
      </c>
      <c r="BO83" s="71">
        <v>334.98469999999998</v>
      </c>
      <c r="BU83" s="72"/>
      <c r="BV83" s="72">
        <v>190</v>
      </c>
      <c r="BW83" s="72"/>
      <c r="BX83" s="72"/>
      <c r="BY83" s="72">
        <v>40</v>
      </c>
      <c r="BZ83" s="72"/>
      <c r="CA83" s="72"/>
      <c r="CB83" s="72"/>
      <c r="CD83" s="74">
        <v>6.92</v>
      </c>
      <c r="CE83" s="69"/>
      <c r="CF83" s="69"/>
      <c r="CG83" s="69"/>
      <c r="CH83" s="69"/>
      <c r="CI83" s="76"/>
      <c r="CJ83" s="76"/>
      <c r="CK83" s="177"/>
      <c r="CL83" s="70"/>
      <c r="CM83" s="76"/>
      <c r="CN83" s="77"/>
      <c r="CO83" s="77"/>
      <c r="CP83" s="77"/>
      <c r="CQ83" s="77"/>
      <c r="CR83" s="77"/>
      <c r="CS83" s="66"/>
      <c r="CT83" s="66"/>
      <c r="CU83" s="66"/>
      <c r="CV83" s="66"/>
      <c r="CW83" s="66"/>
      <c r="CX83" s="66"/>
      <c r="CY83" s="66"/>
      <c r="CZ83" s="66"/>
      <c r="DA83" s="168"/>
      <c r="DB83" s="67"/>
      <c r="DC83" s="69"/>
      <c r="DD83" s="69"/>
      <c r="DE83" s="69"/>
      <c r="DF83" s="69"/>
      <c r="DG83" s="70"/>
      <c r="DH83" s="70"/>
      <c r="DI83" s="70"/>
      <c r="DJ83" s="177"/>
      <c r="DK83" s="177"/>
      <c r="DL83" s="70"/>
      <c r="DM83" s="70"/>
      <c r="DN83" s="71"/>
      <c r="DO83" s="71"/>
      <c r="DP83" s="180"/>
      <c r="DQ83" s="180"/>
      <c r="DR83" s="71"/>
      <c r="DS83" s="180"/>
      <c r="DT83" s="66"/>
      <c r="DU83" s="79"/>
      <c r="DV83" s="79"/>
      <c r="DW83" s="119"/>
      <c r="DX83" s="79"/>
      <c r="DY83" s="136"/>
      <c r="DZ83" s="168"/>
      <c r="EA83" s="74"/>
      <c r="EB83" s="78"/>
      <c r="EC83" s="78"/>
      <c r="ED83" s="78"/>
      <c r="EE83" s="78"/>
      <c r="EF83" s="79">
        <f t="shared" si="19"/>
        <v>-35.714285714285715</v>
      </c>
      <c r="EG83" s="66"/>
      <c r="EH83" s="66"/>
      <c r="EI83" s="66"/>
      <c r="EJ83" s="79"/>
      <c r="EK83" s="66"/>
      <c r="EL83" s="66"/>
      <c r="EM83" s="66"/>
      <c r="EN83" s="66"/>
      <c r="EO83" s="66"/>
      <c r="EP83" s="66"/>
    </row>
    <row r="84" spans="1:146" x14ac:dyDescent="0.3">
      <c r="A84" s="99">
        <v>44700</v>
      </c>
      <c r="B84" s="100">
        <f>A84-A83+B83</f>
        <v>1</v>
      </c>
      <c r="C84" s="96">
        <v>114.09014134589741</v>
      </c>
      <c r="D84" s="93">
        <v>28.912960561446333</v>
      </c>
      <c r="E84" s="93">
        <v>14.569273056903913</v>
      </c>
      <c r="F84" s="69">
        <f t="shared" si="23"/>
        <v>85.177180784451082</v>
      </c>
      <c r="G84" s="70">
        <v>40.426600000000001</v>
      </c>
      <c r="J84" s="70">
        <v>1.5900000000000001E-2</v>
      </c>
      <c r="L84" s="70">
        <v>1.2476</v>
      </c>
      <c r="M84" s="70">
        <v>31.779699999999998</v>
      </c>
      <c r="N84" s="71">
        <v>31.370100000000001</v>
      </c>
      <c r="T84" s="72"/>
      <c r="U84" s="73">
        <v>300</v>
      </c>
      <c r="V84" s="73"/>
      <c r="W84" s="72">
        <f t="shared" si="24"/>
        <v>316.46485004017376</v>
      </c>
      <c r="X84" s="72">
        <v>48</v>
      </c>
      <c r="Y84" s="72"/>
      <c r="Z84" s="72"/>
      <c r="AA84" s="72"/>
      <c r="AB84" s="72"/>
      <c r="AD84" s="74">
        <v>6.36</v>
      </c>
      <c r="AE84" s="96">
        <v>313.09449728864786</v>
      </c>
      <c r="AF84" s="96">
        <v>332.19925242200014</v>
      </c>
      <c r="AG84" s="96">
        <v>20.702965085677523</v>
      </c>
      <c r="AH84" s="87">
        <f t="shared" si="7"/>
        <v>-19.104755133352285</v>
      </c>
      <c r="AI84" s="70">
        <v>31.464600000000001</v>
      </c>
      <c r="AS84" s="72"/>
      <c r="AT84" s="75">
        <v>70</v>
      </c>
      <c r="AU84" s="75"/>
      <c r="AV84" s="75">
        <f t="shared" si="21"/>
        <v>115.21532815776652</v>
      </c>
      <c r="AW84" s="75"/>
      <c r="AX84" s="72">
        <v>52</v>
      </c>
      <c r="AY84" s="72"/>
      <c r="AZ84" s="72"/>
      <c r="BA84" s="72"/>
      <c r="BC84" s="74">
        <v>7.07</v>
      </c>
      <c r="BD84" s="93">
        <v>355.23157614010131</v>
      </c>
      <c r="BE84" s="93">
        <v>336.95934091082461</v>
      </c>
      <c r="BF84" s="93">
        <v>20.562606000350897</v>
      </c>
      <c r="BG84" s="88">
        <f t="shared" si="25"/>
        <v>18.272235229276703</v>
      </c>
      <c r="BH84" s="70">
        <v>26.233000000000001</v>
      </c>
      <c r="BU84" s="72"/>
      <c r="BV84" s="101"/>
      <c r="BW84" s="101"/>
      <c r="BX84" s="101"/>
      <c r="BY84" s="72"/>
      <c r="BZ84" s="72"/>
      <c r="CA84" s="72"/>
      <c r="CB84" s="72"/>
      <c r="CD84" s="74">
        <v>7.06</v>
      </c>
      <c r="CE84" s="69"/>
      <c r="CF84" s="69"/>
      <c r="CG84" s="69"/>
      <c r="CH84" s="69"/>
      <c r="CI84" s="76"/>
      <c r="CJ84" s="76"/>
      <c r="CK84" s="177"/>
      <c r="CL84" s="70"/>
      <c r="CM84" s="76"/>
      <c r="CN84" s="77"/>
      <c r="CO84" s="77"/>
      <c r="CP84" s="77"/>
      <c r="CQ84" s="77"/>
      <c r="CR84" s="77"/>
      <c r="CS84" s="66"/>
      <c r="CT84" s="66"/>
      <c r="CU84" s="66"/>
      <c r="CV84" s="66"/>
      <c r="CW84" s="66"/>
      <c r="CX84" s="66"/>
      <c r="CY84" s="66"/>
      <c r="CZ84" s="66"/>
      <c r="DA84" s="168"/>
      <c r="DB84" s="67"/>
      <c r="DC84" s="69"/>
      <c r="DD84" s="69"/>
      <c r="DE84" s="69"/>
      <c r="DF84" s="69"/>
      <c r="DG84" s="70"/>
      <c r="DH84" s="70"/>
      <c r="DI84" s="70"/>
      <c r="DJ84" s="177"/>
      <c r="DK84" s="177"/>
      <c r="DL84" s="70"/>
      <c r="DM84" s="70"/>
      <c r="DN84" s="71"/>
      <c r="DO84" s="71"/>
      <c r="DP84" s="180"/>
      <c r="DQ84" s="180"/>
      <c r="DR84" s="71"/>
      <c r="DS84" s="180"/>
      <c r="DT84" s="66"/>
      <c r="DU84" s="79"/>
      <c r="DV84" s="79"/>
      <c r="DW84" s="119"/>
      <c r="DX84" s="79"/>
      <c r="DY84" s="136"/>
      <c r="DZ84" s="168"/>
      <c r="EA84" s="74"/>
      <c r="EB84" s="78"/>
      <c r="EC84" s="78"/>
      <c r="ED84" s="78"/>
      <c r="EE84" s="78"/>
      <c r="EF84" s="79">
        <f t="shared" si="19"/>
        <v>100</v>
      </c>
      <c r="EG84" s="66"/>
      <c r="EH84" s="66"/>
      <c r="EI84" s="66"/>
      <c r="EJ84" s="79"/>
      <c r="EK84" s="66"/>
      <c r="EL84" s="66"/>
      <c r="EM84" s="66"/>
      <c r="EN84" s="66"/>
      <c r="EO84" s="66"/>
      <c r="EP84" s="66"/>
    </row>
    <row r="85" spans="1:146" x14ac:dyDescent="0.3">
      <c r="A85" s="99">
        <v>44700</v>
      </c>
      <c r="B85" s="100">
        <f t="shared" ref="B85:B93" si="26">A85-A84+B84</f>
        <v>1</v>
      </c>
      <c r="C85" s="96"/>
      <c r="D85" s="93"/>
      <c r="E85" s="93"/>
      <c r="J85" s="70">
        <v>1.5900000000000001E-2</v>
      </c>
      <c r="T85" s="72"/>
      <c r="U85" s="73"/>
      <c r="V85" s="73"/>
      <c r="W85" s="72"/>
      <c r="X85" s="72"/>
      <c r="Y85" s="72"/>
      <c r="Z85" s="72"/>
      <c r="AA85" s="72"/>
      <c r="AB85" s="72"/>
      <c r="AE85" s="96">
        <v>449.7466441461462</v>
      </c>
      <c r="AF85" s="96">
        <v>179.23563963689065</v>
      </c>
      <c r="AG85" s="96">
        <v>17.832621790747996</v>
      </c>
      <c r="AH85" s="96">
        <f t="shared" si="7"/>
        <v>270.51100450925554</v>
      </c>
      <c r="AS85" s="72"/>
      <c r="AT85" s="75">
        <v>1150</v>
      </c>
      <c r="AU85" s="75"/>
      <c r="AV85" s="75">
        <f t="shared" si="21"/>
        <v>1034.3978261114753</v>
      </c>
      <c r="AW85" s="75"/>
      <c r="AX85" s="72">
        <v>49</v>
      </c>
      <c r="AY85" s="72"/>
      <c r="AZ85" s="72"/>
      <c r="BA85" s="72"/>
      <c r="BC85" s="74">
        <v>6.31</v>
      </c>
      <c r="BD85" s="93"/>
      <c r="BE85" s="93"/>
      <c r="BF85" s="93"/>
      <c r="BG85" s="88">
        <f t="shared" si="25"/>
        <v>0</v>
      </c>
      <c r="BU85" s="72"/>
      <c r="BV85" s="72"/>
      <c r="BW85" s="72"/>
      <c r="BX85" s="72"/>
      <c r="BY85" s="72"/>
      <c r="BZ85" s="72"/>
      <c r="CA85" s="72"/>
      <c r="CB85" s="72"/>
      <c r="CE85" s="69"/>
      <c r="CF85" s="69"/>
      <c r="CG85" s="69"/>
      <c r="CH85" s="69"/>
      <c r="CI85" s="76"/>
      <c r="CJ85" s="76"/>
      <c r="CK85" s="177"/>
      <c r="CL85" s="70"/>
      <c r="CM85" s="76"/>
      <c r="CN85" s="77"/>
      <c r="CO85" s="77"/>
      <c r="CP85" s="77"/>
      <c r="CQ85" s="77"/>
      <c r="CR85" s="77"/>
      <c r="CS85" s="66"/>
      <c r="CT85" s="66"/>
      <c r="CU85" s="66"/>
      <c r="CV85" s="66"/>
      <c r="CW85" s="66"/>
      <c r="CX85" s="66"/>
      <c r="CY85" s="66"/>
      <c r="CZ85" s="66"/>
      <c r="DA85" s="168"/>
      <c r="DB85" s="67"/>
      <c r="DC85" s="69"/>
      <c r="DD85" s="69"/>
      <c r="DE85" s="69"/>
      <c r="DF85" s="69"/>
      <c r="DG85" s="70"/>
      <c r="DH85" s="70"/>
      <c r="DI85" s="70"/>
      <c r="DJ85" s="177"/>
      <c r="DK85" s="177"/>
      <c r="DL85" s="70"/>
      <c r="DM85" s="70"/>
      <c r="DN85" s="71"/>
      <c r="DO85" s="71"/>
      <c r="DP85" s="180"/>
      <c r="DQ85" s="180"/>
      <c r="DR85" s="71"/>
      <c r="DS85" s="180"/>
      <c r="DT85" s="66"/>
      <c r="DU85" s="79"/>
      <c r="DV85" s="79"/>
      <c r="DW85" s="119"/>
      <c r="DX85" s="79"/>
      <c r="DY85" s="136"/>
      <c r="DZ85" s="168"/>
      <c r="EA85" s="74"/>
      <c r="EB85" s="78"/>
      <c r="EC85" s="78"/>
      <c r="ED85" s="78"/>
      <c r="EE85" s="78"/>
      <c r="EF85" s="79" t="e">
        <f t="shared" si="19"/>
        <v>#DIV/0!</v>
      </c>
      <c r="EG85" s="66"/>
      <c r="EH85" s="66"/>
      <c r="EI85" s="66"/>
      <c r="EJ85" s="79"/>
      <c r="EK85" s="66"/>
      <c r="EL85" s="66"/>
      <c r="EM85" s="66"/>
      <c r="EN85" s="66"/>
      <c r="EO85" s="66"/>
      <c r="EP85" s="66"/>
    </row>
    <row r="86" spans="1:146" x14ac:dyDescent="0.3">
      <c r="A86" s="99">
        <v>44701</v>
      </c>
      <c r="B86" s="100">
        <f t="shared" si="26"/>
        <v>2</v>
      </c>
      <c r="C86" s="96">
        <v>241.30144901769046</v>
      </c>
      <c r="D86" s="93">
        <v>48.562056602334273</v>
      </c>
      <c r="E86" s="93">
        <v>19.313410140943912</v>
      </c>
      <c r="F86" s="69">
        <f t="shared" si="23"/>
        <v>192.73939241535618</v>
      </c>
      <c r="G86" s="70">
        <v>58.205100000000002</v>
      </c>
      <c r="J86" s="70">
        <v>3.7370999999999999</v>
      </c>
      <c r="L86" s="70">
        <v>1.6454</v>
      </c>
      <c r="M86" s="70">
        <v>97.776600000000002</v>
      </c>
      <c r="N86" s="71">
        <v>47.497700000000002</v>
      </c>
      <c r="T86" s="72"/>
      <c r="U86" s="73">
        <f>138*5</f>
        <v>690</v>
      </c>
      <c r="V86" s="73"/>
      <c r="W86" s="72">
        <f t="shared" si="24"/>
        <v>698.22465156058217</v>
      </c>
      <c r="X86" s="72">
        <v>70</v>
      </c>
      <c r="Y86" s="72"/>
      <c r="Z86" s="72"/>
      <c r="AA86" s="72"/>
      <c r="AB86" s="72"/>
      <c r="AD86" s="74">
        <v>7.46</v>
      </c>
      <c r="AE86" s="96"/>
      <c r="AF86" s="96"/>
      <c r="AG86" s="96"/>
      <c r="AH86" s="87"/>
      <c r="AS86" s="102"/>
      <c r="AT86" s="103"/>
      <c r="AU86" s="103"/>
      <c r="AV86" s="103"/>
      <c r="AW86" s="103"/>
      <c r="AX86" s="102"/>
      <c r="AY86" s="102"/>
      <c r="AZ86" s="102"/>
      <c r="BA86" s="102"/>
      <c r="BD86" s="93"/>
      <c r="BE86" s="93"/>
      <c r="BF86" s="93"/>
      <c r="BG86" s="88"/>
      <c r="BU86" s="72"/>
      <c r="BV86" s="72"/>
      <c r="BW86" s="72"/>
      <c r="BX86" s="72"/>
      <c r="BY86" s="72"/>
      <c r="BZ86" s="72"/>
      <c r="CA86" s="72"/>
      <c r="CB86" s="72"/>
      <c r="CE86" s="69"/>
      <c r="CF86" s="69"/>
      <c r="CG86" s="69"/>
      <c r="CH86" s="69"/>
      <c r="CI86" s="76"/>
      <c r="CJ86" s="76"/>
      <c r="CK86" s="177"/>
      <c r="CL86" s="70"/>
      <c r="CM86" s="76"/>
      <c r="CN86" s="77"/>
      <c r="CO86" s="77"/>
      <c r="CP86" s="77"/>
      <c r="CQ86" s="77"/>
      <c r="CR86" s="77"/>
      <c r="CS86" s="66"/>
      <c r="CT86" s="66"/>
      <c r="CU86" s="66"/>
      <c r="CV86" s="66"/>
      <c r="CW86" s="66"/>
      <c r="CX86" s="66"/>
      <c r="CY86" s="66"/>
      <c r="CZ86" s="66"/>
      <c r="DA86" s="168"/>
      <c r="DB86" s="67"/>
      <c r="DC86" s="69"/>
      <c r="DD86" s="69"/>
      <c r="DE86" s="69"/>
      <c r="DF86" s="69"/>
      <c r="DG86" s="70"/>
      <c r="DH86" s="70"/>
      <c r="DI86" s="70"/>
      <c r="DJ86" s="177"/>
      <c r="DK86" s="177"/>
      <c r="DL86" s="70"/>
      <c r="DM86" s="70"/>
      <c r="DN86" s="71"/>
      <c r="DO86" s="71"/>
      <c r="DP86" s="180"/>
      <c r="DQ86" s="180"/>
      <c r="DR86" s="71"/>
      <c r="DS86" s="180"/>
      <c r="DT86" s="66"/>
      <c r="DU86" s="79"/>
      <c r="DV86" s="79"/>
      <c r="DW86" s="119"/>
      <c r="DX86" s="79"/>
      <c r="DY86" s="136"/>
      <c r="DZ86" s="168"/>
      <c r="EA86" s="74"/>
      <c r="EB86" s="78"/>
      <c r="EC86" s="78"/>
      <c r="ED86" s="78"/>
      <c r="EE86" s="78"/>
      <c r="EF86" s="79">
        <f t="shared" si="19"/>
        <v>100</v>
      </c>
      <c r="EG86" s="66"/>
      <c r="EH86" s="66"/>
      <c r="EI86" s="66"/>
      <c r="EJ86" s="79"/>
      <c r="EK86" s="66"/>
      <c r="EL86" s="66"/>
      <c r="EM86" s="66"/>
      <c r="EN86" s="66"/>
      <c r="EO86" s="66"/>
      <c r="EP86" s="66"/>
    </row>
    <row r="87" spans="1:146" x14ac:dyDescent="0.3">
      <c r="A87" s="99">
        <v>44704</v>
      </c>
      <c r="B87" s="100">
        <f t="shared" si="26"/>
        <v>5</v>
      </c>
      <c r="C87" s="96">
        <v>129.37190990661051</v>
      </c>
      <c r="D87" s="93">
        <v>52.371038630580614</v>
      </c>
      <c r="E87" s="93">
        <v>14.270178419711128</v>
      </c>
      <c r="F87" s="69">
        <f t="shared" si="23"/>
        <v>77.000871276029898</v>
      </c>
      <c r="J87" s="70">
        <v>0.12770000000000001</v>
      </c>
      <c r="T87" s="72"/>
      <c r="U87" s="73">
        <f>48*5</f>
        <v>240</v>
      </c>
      <c r="V87" s="73"/>
      <c r="W87" s="72">
        <f t="shared" si="24"/>
        <v>287.44549233288529</v>
      </c>
      <c r="X87" s="72"/>
      <c r="Y87" s="72"/>
      <c r="Z87" s="72"/>
      <c r="AA87" s="72"/>
      <c r="AB87" s="72"/>
      <c r="AD87" s="74">
        <v>7.46</v>
      </c>
      <c r="AE87" s="96"/>
      <c r="AF87" s="96"/>
      <c r="AG87" s="96"/>
      <c r="AH87" s="87"/>
      <c r="AS87" s="102"/>
      <c r="AT87" s="103"/>
      <c r="AU87" s="103"/>
      <c r="AV87" s="103"/>
      <c r="AW87" s="103"/>
      <c r="AX87" s="102"/>
      <c r="AY87" s="102"/>
      <c r="AZ87" s="102"/>
      <c r="BA87" s="102"/>
      <c r="BD87" s="93"/>
      <c r="BE87" s="93"/>
      <c r="BF87" s="93"/>
      <c r="BG87" s="88"/>
      <c r="BU87" s="72"/>
      <c r="BV87" s="72"/>
      <c r="BW87" s="72"/>
      <c r="BX87" s="72"/>
      <c r="BY87" s="72"/>
      <c r="BZ87" s="72"/>
      <c r="CA87" s="72"/>
      <c r="CB87" s="72"/>
      <c r="CE87" s="69"/>
      <c r="CF87" s="69"/>
      <c r="CG87" s="69"/>
      <c r="CH87" s="69"/>
      <c r="CI87" s="76"/>
      <c r="CJ87" s="76"/>
      <c r="CK87" s="177"/>
      <c r="CL87" s="70"/>
      <c r="CM87" s="76"/>
      <c r="CN87" s="77"/>
      <c r="CO87" s="77"/>
      <c r="CP87" s="77"/>
      <c r="CQ87" s="77"/>
      <c r="CR87" s="77"/>
      <c r="CS87" s="66"/>
      <c r="CT87" s="66"/>
      <c r="CU87" s="66"/>
      <c r="CV87" s="66"/>
      <c r="CW87" s="66"/>
      <c r="CX87" s="66"/>
      <c r="CY87" s="66"/>
      <c r="CZ87" s="66"/>
      <c r="DA87" s="168"/>
      <c r="DB87" s="67"/>
      <c r="DC87" s="69"/>
      <c r="DD87" s="69"/>
      <c r="DE87" s="69"/>
      <c r="DF87" s="69"/>
      <c r="DG87" s="70"/>
      <c r="DH87" s="70"/>
      <c r="DI87" s="70"/>
      <c r="DJ87" s="177"/>
      <c r="DK87" s="177"/>
      <c r="DL87" s="70"/>
      <c r="DM87" s="70"/>
      <c r="DN87" s="71"/>
      <c r="DO87" s="71"/>
      <c r="DP87" s="180"/>
      <c r="DQ87" s="180"/>
      <c r="DR87" s="71"/>
      <c r="DS87" s="180"/>
      <c r="DT87" s="66"/>
      <c r="DU87" s="79"/>
      <c r="DV87" s="79"/>
      <c r="DW87" s="119"/>
      <c r="DX87" s="79"/>
      <c r="DY87" s="136"/>
      <c r="DZ87" s="168"/>
      <c r="EA87" s="74"/>
      <c r="EB87" s="78"/>
      <c r="EC87" s="78"/>
      <c r="ED87" s="78"/>
      <c r="EE87" s="78"/>
      <c r="EF87" s="79"/>
      <c r="EG87" s="66"/>
      <c r="EH87" s="66"/>
      <c r="EI87" s="66"/>
      <c r="EJ87" s="79"/>
      <c r="EK87" s="66"/>
      <c r="EL87" s="66"/>
      <c r="EM87" s="66"/>
      <c r="EN87" s="66"/>
      <c r="EO87" s="66"/>
      <c r="EP87" s="66"/>
    </row>
    <row r="88" spans="1:146" x14ac:dyDescent="0.3">
      <c r="A88" s="99">
        <v>44705</v>
      </c>
      <c r="B88" s="100">
        <f t="shared" si="26"/>
        <v>6</v>
      </c>
      <c r="C88" s="96">
        <v>136.23878410547519</v>
      </c>
      <c r="D88" s="93">
        <v>55.054360397871854</v>
      </c>
      <c r="E88" s="93">
        <v>17.886151231945622</v>
      </c>
      <c r="F88" s="69">
        <f t="shared" si="23"/>
        <v>81.184423707603344</v>
      </c>
      <c r="J88" s="70">
        <v>1.67E-2</v>
      </c>
      <c r="T88" s="72"/>
      <c r="U88" s="73">
        <f>74*5</f>
        <v>370</v>
      </c>
      <c r="V88" s="73"/>
      <c r="W88" s="72">
        <f t="shared" si="24"/>
        <v>302.29375662302579</v>
      </c>
      <c r="X88" s="72"/>
      <c r="Y88" s="72"/>
      <c r="Z88" s="72"/>
      <c r="AA88" s="72"/>
      <c r="AB88" s="72"/>
      <c r="AD88" s="74">
        <v>7.48</v>
      </c>
      <c r="AE88" s="96"/>
      <c r="AF88" s="96"/>
      <c r="AG88" s="96"/>
      <c r="AH88" s="87"/>
      <c r="AS88" s="102"/>
      <c r="AT88" s="103"/>
      <c r="AU88" s="103"/>
      <c r="AV88" s="103"/>
      <c r="AW88" s="103"/>
      <c r="AX88" s="102"/>
      <c r="AY88" s="102"/>
      <c r="AZ88" s="102"/>
      <c r="BA88" s="102"/>
      <c r="BD88" s="93"/>
      <c r="BE88" s="93"/>
      <c r="BF88" s="93"/>
      <c r="BG88" s="88"/>
      <c r="BU88" s="72"/>
      <c r="BV88" s="72"/>
      <c r="BW88" s="72"/>
      <c r="BX88" s="72"/>
      <c r="BY88" s="72"/>
      <c r="BZ88" s="72"/>
      <c r="CA88" s="72"/>
      <c r="CB88" s="72"/>
      <c r="CE88" s="69"/>
      <c r="CF88" s="69"/>
      <c r="CG88" s="69"/>
      <c r="CH88" s="69"/>
      <c r="CI88" s="76"/>
      <c r="CJ88" s="76"/>
      <c r="CK88" s="177"/>
      <c r="CL88" s="70"/>
      <c r="CM88" s="76"/>
      <c r="CN88" s="77"/>
      <c r="CO88" s="77"/>
      <c r="CP88" s="77"/>
      <c r="CQ88" s="77"/>
      <c r="CR88" s="77"/>
      <c r="CS88" s="66"/>
      <c r="CT88" s="66"/>
      <c r="CU88" s="66"/>
      <c r="CV88" s="66"/>
      <c r="CW88" s="66"/>
      <c r="CX88" s="66"/>
      <c r="CY88" s="66"/>
      <c r="CZ88" s="66"/>
      <c r="DA88" s="168"/>
      <c r="DB88" s="67"/>
      <c r="DC88" s="69"/>
      <c r="DD88" s="69"/>
      <c r="DE88" s="69"/>
      <c r="DF88" s="69"/>
      <c r="DG88" s="70"/>
      <c r="DH88" s="70"/>
      <c r="DI88" s="70"/>
      <c r="DJ88" s="177"/>
      <c r="DK88" s="177"/>
      <c r="DL88" s="70"/>
      <c r="DM88" s="70"/>
      <c r="DN88" s="71"/>
      <c r="DO88" s="71"/>
      <c r="DP88" s="180"/>
      <c r="DQ88" s="180"/>
      <c r="DR88" s="71"/>
      <c r="DS88" s="180"/>
      <c r="DT88" s="66"/>
      <c r="DU88" s="79"/>
      <c r="DV88" s="79"/>
      <c r="DW88" s="119"/>
      <c r="DX88" s="79"/>
      <c r="DY88" s="136"/>
      <c r="DZ88" s="168"/>
      <c r="EA88" s="74"/>
      <c r="EB88" s="78"/>
      <c r="EC88" s="78"/>
      <c r="ED88" s="78"/>
      <c r="EE88" s="78"/>
      <c r="EF88" s="79"/>
      <c r="EG88" s="66"/>
      <c r="EH88" s="66"/>
      <c r="EI88" s="66"/>
      <c r="EJ88" s="79"/>
      <c r="EK88" s="66"/>
      <c r="EL88" s="66"/>
      <c r="EM88" s="66"/>
      <c r="EN88" s="66"/>
      <c r="EO88" s="66"/>
      <c r="EP88" s="66"/>
    </row>
    <row r="89" spans="1:146" x14ac:dyDescent="0.3">
      <c r="A89" s="99">
        <v>44706</v>
      </c>
      <c r="B89" s="100">
        <f t="shared" si="26"/>
        <v>7</v>
      </c>
      <c r="C89" s="96">
        <v>173.5396447537081</v>
      </c>
      <c r="D89" s="93">
        <v>56.07217210270646</v>
      </c>
      <c r="E89" s="93">
        <v>20.662701784197107</v>
      </c>
      <c r="F89" s="69">
        <f t="shared" si="23"/>
        <v>117.46747265100164</v>
      </c>
      <c r="J89" s="70">
        <v>1.2500000000000001E-2</v>
      </c>
      <c r="L89" s="70">
        <v>25.0246</v>
      </c>
      <c r="T89" s="72"/>
      <c r="U89" s="73">
        <f>(89+87+90)/3*5</f>
        <v>443.33333333333337</v>
      </c>
      <c r="V89" s="73"/>
      <c r="W89" s="72">
        <f t="shared" si="24"/>
        <v>431.06955393293504</v>
      </c>
      <c r="X89" s="72"/>
      <c r="Y89" s="72"/>
      <c r="Z89" s="72"/>
      <c r="AA89" s="72"/>
      <c r="AB89" s="72"/>
      <c r="AD89" s="74">
        <v>7.81</v>
      </c>
      <c r="AE89" s="96"/>
      <c r="AF89" s="96"/>
      <c r="AG89" s="96"/>
      <c r="AH89" s="87"/>
      <c r="AS89" s="102"/>
      <c r="AT89" s="103"/>
      <c r="AU89" s="103"/>
      <c r="AV89" s="103"/>
      <c r="AW89" s="103"/>
      <c r="AX89" s="102"/>
      <c r="AY89" s="102"/>
      <c r="AZ89" s="102"/>
      <c r="BA89" s="102"/>
      <c r="BD89" s="93"/>
      <c r="BE89" s="93"/>
      <c r="BF89" s="93"/>
      <c r="BG89" s="88"/>
      <c r="BU89" s="72"/>
      <c r="BV89" s="72"/>
      <c r="BW89" s="72"/>
      <c r="BX89" s="72"/>
      <c r="BY89" s="72"/>
      <c r="BZ89" s="72"/>
      <c r="CA89" s="72"/>
      <c r="CB89" s="72"/>
      <c r="CE89" s="69"/>
      <c r="CF89" s="69"/>
      <c r="CG89" s="69"/>
      <c r="CH89" s="69"/>
      <c r="CI89" s="76"/>
      <c r="CJ89" s="76"/>
      <c r="CK89" s="177"/>
      <c r="CL89" s="70"/>
      <c r="CM89" s="76"/>
      <c r="CN89" s="77"/>
      <c r="CO89" s="77"/>
      <c r="CP89" s="77"/>
      <c r="CQ89" s="77"/>
      <c r="CR89" s="77"/>
      <c r="CS89" s="66"/>
      <c r="CT89" s="66"/>
      <c r="CU89" s="66"/>
      <c r="CV89" s="66"/>
      <c r="CW89" s="66"/>
      <c r="CX89" s="66"/>
      <c r="CY89" s="66"/>
      <c r="CZ89" s="66"/>
      <c r="DA89" s="168"/>
      <c r="DB89" s="67"/>
      <c r="DC89" s="69"/>
      <c r="DD89" s="69"/>
      <c r="DE89" s="69"/>
      <c r="DF89" s="69"/>
      <c r="DG89" s="70"/>
      <c r="DH89" s="70"/>
      <c r="DI89" s="70"/>
      <c r="DJ89" s="177"/>
      <c r="DK89" s="177"/>
      <c r="DL89" s="70"/>
      <c r="DM89" s="70"/>
      <c r="DN89" s="71"/>
      <c r="DO89" s="71"/>
      <c r="DP89" s="180"/>
      <c r="DQ89" s="180"/>
      <c r="DR89" s="71"/>
      <c r="DS89" s="180"/>
      <c r="DT89" s="66"/>
      <c r="DU89" s="79"/>
      <c r="DV89" s="79"/>
      <c r="DW89" s="119"/>
      <c r="DX89" s="79"/>
      <c r="DY89" s="136"/>
      <c r="DZ89" s="168"/>
      <c r="EA89" s="74"/>
      <c r="EB89" s="78"/>
      <c r="EC89" s="78"/>
      <c r="ED89" s="78"/>
      <c r="EE89" s="78"/>
      <c r="EF89" s="79"/>
      <c r="EG89" s="66"/>
      <c r="EH89" s="66"/>
      <c r="EI89" s="66"/>
      <c r="EJ89" s="79"/>
      <c r="EK89" s="66"/>
      <c r="EL89" s="66"/>
      <c r="EM89" s="66"/>
      <c r="EN89" s="66"/>
      <c r="EO89" s="66"/>
      <c r="EP89" s="66"/>
    </row>
    <row r="90" spans="1:146" x14ac:dyDescent="0.3">
      <c r="A90" s="99">
        <v>44708</v>
      </c>
      <c r="B90" s="100">
        <f t="shared" si="26"/>
        <v>9</v>
      </c>
      <c r="C90" s="96">
        <v>217.09497206703907</v>
      </c>
      <c r="D90" s="93">
        <v>58.465567709135726</v>
      </c>
      <c r="E90" s="93">
        <v>18.786975464343037</v>
      </c>
      <c r="F90" s="69">
        <f t="shared" si="23"/>
        <v>158.62940435790335</v>
      </c>
      <c r="J90" s="70">
        <v>3.5799999999999998E-2</v>
      </c>
      <c r="L90" s="70">
        <v>0.29570000000000002</v>
      </c>
      <c r="T90" s="72"/>
      <c r="U90" s="73"/>
      <c r="V90" s="73"/>
      <c r="W90" s="72">
        <f t="shared" si="24"/>
        <v>577.16148194707057</v>
      </c>
      <c r="X90" s="72"/>
      <c r="Y90" s="72"/>
      <c r="Z90" s="72"/>
      <c r="AA90" s="72"/>
      <c r="AB90" s="72"/>
      <c r="AD90" s="74">
        <v>7.54</v>
      </c>
      <c r="AE90" s="96"/>
      <c r="AF90" s="96"/>
      <c r="AG90" s="96"/>
      <c r="AH90" s="87"/>
      <c r="AS90" s="102"/>
      <c r="AT90" s="103"/>
      <c r="AU90" s="103"/>
      <c r="AV90" s="103"/>
      <c r="AW90" s="103"/>
      <c r="AX90" s="102"/>
      <c r="AY90" s="102"/>
      <c r="AZ90" s="102"/>
      <c r="BA90" s="102"/>
      <c r="BD90" s="93"/>
      <c r="BE90" s="93"/>
      <c r="BF90" s="93"/>
      <c r="BG90" s="88"/>
      <c r="BU90" s="72"/>
      <c r="BV90" s="72"/>
      <c r="BW90" s="72"/>
      <c r="BX90" s="72"/>
      <c r="BY90" s="72"/>
      <c r="BZ90" s="72"/>
      <c r="CA90" s="72"/>
      <c r="CB90" s="72"/>
      <c r="CE90" s="69"/>
      <c r="CF90" s="69"/>
      <c r="CG90" s="69"/>
      <c r="CH90" s="69"/>
      <c r="CI90" s="76"/>
      <c r="CJ90" s="76"/>
      <c r="CK90" s="177"/>
      <c r="CL90" s="70"/>
      <c r="CM90" s="76"/>
      <c r="CN90" s="77"/>
      <c r="CO90" s="77"/>
      <c r="CP90" s="77"/>
      <c r="CQ90" s="77"/>
      <c r="CR90" s="77"/>
      <c r="CS90" s="66"/>
      <c r="CT90" s="66"/>
      <c r="CU90" s="66"/>
      <c r="CV90" s="66"/>
      <c r="CW90" s="66"/>
      <c r="CX90" s="66"/>
      <c r="CY90" s="66"/>
      <c r="CZ90" s="66"/>
      <c r="DA90" s="168"/>
      <c r="DB90" s="67"/>
      <c r="DC90" s="69"/>
      <c r="DD90" s="69"/>
      <c r="DE90" s="69"/>
      <c r="DF90" s="69"/>
      <c r="DG90" s="70"/>
      <c r="DH90" s="70"/>
      <c r="DI90" s="70"/>
      <c r="DJ90" s="177"/>
      <c r="DK90" s="177"/>
      <c r="DL90" s="70"/>
      <c r="DM90" s="70"/>
      <c r="DN90" s="71"/>
      <c r="DO90" s="71"/>
      <c r="DP90" s="180"/>
      <c r="DQ90" s="180"/>
      <c r="DR90" s="71"/>
      <c r="DS90" s="180"/>
      <c r="DT90" s="66"/>
      <c r="DU90" s="79"/>
      <c r="DV90" s="79"/>
      <c r="DW90" s="119"/>
      <c r="DX90" s="79"/>
      <c r="DY90" s="136"/>
      <c r="DZ90" s="168"/>
      <c r="EA90" s="74"/>
      <c r="EB90" s="78"/>
      <c r="EC90" s="78"/>
      <c r="ED90" s="78"/>
      <c r="EE90" s="78"/>
      <c r="EF90" s="79"/>
      <c r="EG90" s="66"/>
      <c r="EH90" s="66"/>
      <c r="EI90" s="66"/>
      <c r="EJ90" s="79"/>
      <c r="EK90" s="66"/>
      <c r="EL90" s="66"/>
      <c r="EM90" s="66"/>
      <c r="EN90" s="66"/>
      <c r="EO90" s="66"/>
      <c r="EP90" s="66"/>
    </row>
    <row r="91" spans="1:146" x14ac:dyDescent="0.3">
      <c r="A91" s="99">
        <v>44711</v>
      </c>
      <c r="B91" s="100">
        <f t="shared" si="26"/>
        <v>12</v>
      </c>
      <c r="C91" s="96">
        <v>174.69273743016757</v>
      </c>
      <c r="D91" s="93">
        <v>55.276536743182874</v>
      </c>
      <c r="E91" s="93">
        <v>15.509057555606514</v>
      </c>
      <c r="F91" s="69">
        <f t="shared" si="23"/>
        <v>119.41620068698469</v>
      </c>
      <c r="G91" s="70">
        <v>47.270299999999999</v>
      </c>
      <c r="J91" s="70">
        <v>2.8799999999999999E-2</v>
      </c>
      <c r="L91" s="70">
        <v>3.4701</v>
      </c>
      <c r="T91" s="72"/>
      <c r="U91" s="73"/>
      <c r="V91" s="73"/>
      <c r="W91" s="72">
        <f t="shared" si="24"/>
        <v>437.98597947824607</v>
      </c>
      <c r="X91" s="72"/>
      <c r="Y91" s="72"/>
      <c r="Z91" s="72"/>
      <c r="AA91" s="72"/>
      <c r="AB91" s="72"/>
      <c r="AD91" s="74">
        <v>7.68</v>
      </c>
      <c r="AE91" s="96"/>
      <c r="AF91" s="96"/>
      <c r="AG91" s="96"/>
      <c r="AH91" s="87"/>
      <c r="AS91" s="102"/>
      <c r="AT91" s="103"/>
      <c r="AU91" s="103"/>
      <c r="AV91" s="103"/>
      <c r="AW91" s="103"/>
      <c r="AX91" s="102"/>
      <c r="AY91" s="102"/>
      <c r="AZ91" s="102"/>
      <c r="BA91" s="102"/>
      <c r="BD91" s="93"/>
      <c r="BE91" s="93"/>
      <c r="BF91" s="93"/>
      <c r="BG91" s="88"/>
      <c r="BU91" s="72"/>
      <c r="BV91" s="72"/>
      <c r="BW91" s="72"/>
      <c r="BX91" s="72"/>
      <c r="BY91" s="72"/>
      <c r="BZ91" s="72"/>
      <c r="CA91" s="72"/>
      <c r="CB91" s="72"/>
      <c r="CE91" s="69"/>
      <c r="CF91" s="69"/>
      <c r="CG91" s="69"/>
      <c r="CH91" s="69"/>
      <c r="CI91" s="76"/>
      <c r="CJ91" s="76"/>
      <c r="CK91" s="177"/>
      <c r="CL91" s="70"/>
      <c r="CM91" s="76"/>
      <c r="CN91" s="77"/>
      <c r="CO91" s="77"/>
      <c r="CP91" s="77"/>
      <c r="CQ91" s="77"/>
      <c r="CR91" s="77"/>
      <c r="CS91" s="66"/>
      <c r="CT91" s="66"/>
      <c r="CU91" s="66"/>
      <c r="CV91" s="66"/>
      <c r="CW91" s="66"/>
      <c r="CX91" s="66"/>
      <c r="CY91" s="66"/>
      <c r="CZ91" s="66"/>
      <c r="DA91" s="168"/>
      <c r="DB91" s="67"/>
      <c r="DC91" s="69"/>
      <c r="DD91" s="69"/>
      <c r="DE91" s="69"/>
      <c r="DF91" s="69"/>
      <c r="DG91" s="70"/>
      <c r="DH91" s="70"/>
      <c r="DI91" s="70"/>
      <c r="DJ91" s="177"/>
      <c r="DK91" s="177"/>
      <c r="DL91" s="70"/>
      <c r="DM91" s="70"/>
      <c r="DN91" s="71"/>
      <c r="DO91" s="71"/>
      <c r="DP91" s="180"/>
      <c r="DQ91" s="180"/>
      <c r="DR91" s="71"/>
      <c r="DS91" s="180"/>
      <c r="DT91" s="66"/>
      <c r="DU91" s="79"/>
      <c r="DV91" s="79"/>
      <c r="DW91" s="119"/>
      <c r="DX91" s="79"/>
      <c r="DY91" s="136"/>
      <c r="DZ91" s="168"/>
      <c r="EA91" s="74"/>
      <c r="EB91" s="78"/>
      <c r="EC91" s="78"/>
      <c r="ED91" s="78"/>
      <c r="EE91" s="78"/>
      <c r="EF91" s="79"/>
      <c r="EG91" s="66"/>
      <c r="EH91" s="66"/>
      <c r="EI91" s="66"/>
      <c r="EJ91" s="79"/>
      <c r="EK91" s="66"/>
      <c r="EL91" s="66"/>
      <c r="EM91" s="66"/>
      <c r="EN91" s="66"/>
      <c r="EO91" s="66"/>
      <c r="EP91" s="66"/>
    </row>
    <row r="92" spans="1:146" x14ac:dyDescent="0.3">
      <c r="A92" s="99">
        <v>44713</v>
      </c>
      <c r="B92" s="100">
        <f t="shared" si="26"/>
        <v>14</v>
      </c>
      <c r="C92" s="96">
        <v>90.238072473467824</v>
      </c>
      <c r="D92" s="93">
        <v>54.541231126596976</v>
      </c>
      <c r="E92" s="93">
        <v>17.03617541002675</v>
      </c>
      <c r="F92" s="69">
        <f t="shared" si="23"/>
        <v>35.696841346870848</v>
      </c>
      <c r="G92" s="70">
        <v>49.047899999999998</v>
      </c>
      <c r="J92" s="70">
        <v>7.0599999999999996E-2</v>
      </c>
      <c r="L92" s="70">
        <v>10.325100000000001</v>
      </c>
      <c r="T92" s="72"/>
      <c r="U92" s="73"/>
      <c r="V92" s="73"/>
      <c r="W92" s="72">
        <f t="shared" si="24"/>
        <v>140.84922930831402</v>
      </c>
      <c r="X92" s="72"/>
      <c r="Y92" s="72"/>
      <c r="Z92" s="72"/>
      <c r="AA92" s="72"/>
      <c r="AB92" s="72"/>
      <c r="AD92" s="74">
        <v>7.77</v>
      </c>
      <c r="AE92" s="96"/>
      <c r="AF92" s="96"/>
      <c r="AG92" s="96"/>
      <c r="AH92" s="87"/>
      <c r="AS92" s="102"/>
      <c r="AT92" s="103"/>
      <c r="AU92" s="103"/>
      <c r="AV92" s="103"/>
      <c r="AW92" s="103"/>
      <c r="AX92" s="102"/>
      <c r="AY92" s="102"/>
      <c r="AZ92" s="102"/>
      <c r="BA92" s="102"/>
      <c r="BD92" s="93"/>
      <c r="BE92" s="93"/>
      <c r="BF92" s="93"/>
      <c r="BG92" s="88"/>
      <c r="BU92" s="72"/>
      <c r="BV92" s="72"/>
      <c r="BW92" s="72"/>
      <c r="BX92" s="72"/>
      <c r="BY92" s="72"/>
      <c r="BZ92" s="72"/>
      <c r="CA92" s="72"/>
      <c r="CB92" s="72"/>
      <c r="CE92" s="69"/>
      <c r="CF92" s="69"/>
      <c r="CG92" s="69"/>
      <c r="CH92" s="69"/>
      <c r="CI92" s="76"/>
      <c r="CJ92" s="76"/>
      <c r="CK92" s="177"/>
      <c r="CL92" s="70"/>
      <c r="CM92" s="76"/>
      <c r="CN92" s="77"/>
      <c r="CO92" s="77"/>
      <c r="CP92" s="77"/>
      <c r="CQ92" s="77"/>
      <c r="CR92" s="77"/>
      <c r="CS92" s="66"/>
      <c r="CT92" s="66"/>
      <c r="CU92" s="66"/>
      <c r="CV92" s="66"/>
      <c r="CW92" s="66"/>
      <c r="CX92" s="66"/>
      <c r="CY92" s="66"/>
      <c r="CZ92" s="66"/>
      <c r="DA92" s="168"/>
      <c r="DB92" s="67"/>
      <c r="DC92" s="69"/>
      <c r="DD92" s="69"/>
      <c r="DE92" s="69"/>
      <c r="DF92" s="69"/>
      <c r="DG92" s="70"/>
      <c r="DH92" s="70"/>
      <c r="DI92" s="70"/>
      <c r="DJ92" s="177"/>
      <c r="DK92" s="177"/>
      <c r="DL92" s="70"/>
      <c r="DM92" s="70"/>
      <c r="DN92" s="71"/>
      <c r="DO92" s="71"/>
      <c r="DP92" s="180"/>
      <c r="DQ92" s="180"/>
      <c r="DR92" s="71"/>
      <c r="DS92" s="180"/>
      <c r="DT92" s="66"/>
      <c r="DU92" s="79"/>
      <c r="DV92" s="79"/>
      <c r="DW92" s="119"/>
      <c r="DX92" s="79"/>
      <c r="DY92" s="136"/>
      <c r="DZ92" s="168"/>
      <c r="EA92" s="74"/>
      <c r="EB92" s="78"/>
      <c r="EC92" s="78"/>
      <c r="ED92" s="78"/>
      <c r="EE92" s="78"/>
      <c r="EF92" s="79"/>
      <c r="EG92" s="66"/>
      <c r="EH92" s="66"/>
      <c r="EI92" s="66"/>
      <c r="EJ92" s="79"/>
      <c r="EK92" s="66"/>
      <c r="EL92" s="66"/>
      <c r="EM92" s="66"/>
      <c r="EN92" s="66"/>
      <c r="EO92" s="66"/>
      <c r="EP92" s="66"/>
    </row>
    <row r="93" spans="1:146" x14ac:dyDescent="0.3">
      <c r="A93" s="99">
        <v>44715</v>
      </c>
      <c r="B93" s="100">
        <f t="shared" si="26"/>
        <v>16</v>
      </c>
      <c r="C93" s="96">
        <v>201.81661726742519</v>
      </c>
      <c r="D93" s="93">
        <v>61.742160278745629</v>
      </c>
      <c r="E93" s="93">
        <v>22.898685587995814</v>
      </c>
      <c r="F93" s="69">
        <f t="shared" si="23"/>
        <v>140.07445698867957</v>
      </c>
      <c r="J93" s="70">
        <v>0.52759999999999996</v>
      </c>
      <c r="L93" s="70">
        <v>13.148300000000001</v>
      </c>
      <c r="T93" s="72"/>
      <c r="U93" s="73"/>
      <c r="V93" s="73"/>
      <c r="W93" s="72">
        <f t="shared" si="24"/>
        <v>511.3062627442215</v>
      </c>
      <c r="X93" s="72"/>
      <c r="Y93" s="72"/>
      <c r="Z93" s="72"/>
      <c r="AA93" s="72"/>
      <c r="AB93" s="72"/>
      <c r="AD93" s="74">
        <v>8.08</v>
      </c>
      <c r="AE93" s="96"/>
      <c r="AF93" s="96"/>
      <c r="AG93" s="96"/>
      <c r="AH93" s="87"/>
      <c r="AS93" s="102"/>
      <c r="AT93" s="103"/>
      <c r="AU93" s="103"/>
      <c r="AV93" s="103"/>
      <c r="AW93" s="103"/>
      <c r="AX93" s="102"/>
      <c r="AY93" s="102"/>
      <c r="AZ93" s="102"/>
      <c r="BA93" s="102"/>
      <c r="BD93" s="93"/>
      <c r="BE93" s="93"/>
      <c r="BF93" s="93"/>
      <c r="BG93" s="88"/>
      <c r="BU93" s="72"/>
      <c r="BV93" s="72"/>
      <c r="BW93" s="72"/>
      <c r="BX93" s="72"/>
      <c r="BY93" s="72"/>
      <c r="BZ93" s="72"/>
      <c r="CA93" s="72"/>
      <c r="CB93" s="72"/>
      <c r="CE93" s="69"/>
      <c r="CF93" s="69"/>
      <c r="CG93" s="69"/>
      <c r="CH93" s="69"/>
      <c r="CI93" s="76"/>
      <c r="CJ93" s="76"/>
      <c r="CK93" s="177"/>
      <c r="CL93" s="70"/>
      <c r="CM93" s="76"/>
      <c r="CN93" s="77"/>
      <c r="CO93" s="77"/>
      <c r="CP93" s="77"/>
      <c r="CQ93" s="77"/>
      <c r="CR93" s="77"/>
      <c r="CS93" s="66"/>
      <c r="CT93" s="66"/>
      <c r="CU93" s="66"/>
      <c r="CV93" s="66"/>
      <c r="CW93" s="66"/>
      <c r="CX93" s="66"/>
      <c r="CY93" s="66"/>
      <c r="CZ93" s="66"/>
      <c r="DA93" s="168"/>
      <c r="DB93" s="67"/>
      <c r="DC93" s="69"/>
      <c r="DD93" s="69"/>
      <c r="DE93" s="69"/>
      <c r="DF93" s="69"/>
      <c r="DG93" s="70"/>
      <c r="DH93" s="70"/>
      <c r="DI93" s="70"/>
      <c r="DJ93" s="177"/>
      <c r="DK93" s="177"/>
      <c r="DL93" s="70"/>
      <c r="DM93" s="70"/>
      <c r="DN93" s="71"/>
      <c r="DO93" s="71"/>
      <c r="DP93" s="180"/>
      <c r="DQ93" s="180"/>
      <c r="DR93" s="71"/>
      <c r="DS93" s="180"/>
      <c r="DT93" s="66"/>
      <c r="DU93" s="79"/>
      <c r="DV93" s="79"/>
      <c r="DW93" s="119"/>
      <c r="DX93" s="79"/>
      <c r="DY93" s="136"/>
      <c r="DZ93" s="168"/>
      <c r="EA93" s="74"/>
      <c r="EB93" s="78"/>
      <c r="EC93" s="78"/>
      <c r="ED93" s="78"/>
      <c r="EE93" s="78"/>
      <c r="EF93" s="79"/>
      <c r="EG93" s="66"/>
      <c r="EH93" s="66"/>
      <c r="EI93" s="66"/>
      <c r="EJ93" s="79"/>
      <c r="EK93" s="66"/>
      <c r="EL93" s="66"/>
      <c r="EM93" s="66"/>
      <c r="EN93" s="66"/>
      <c r="EO93" s="66"/>
      <c r="EP93" s="66"/>
    </row>
    <row r="94" spans="1:146" x14ac:dyDescent="0.3">
      <c r="A94" s="86"/>
      <c r="B94" s="86"/>
      <c r="C94" s="96"/>
      <c r="D94" s="93"/>
      <c r="E94" s="93"/>
      <c r="T94" s="72"/>
      <c r="U94" s="73"/>
      <c r="V94" s="73"/>
      <c r="W94" s="72"/>
      <c r="X94" s="72"/>
      <c r="Y94" s="72"/>
      <c r="Z94" s="72"/>
      <c r="AA94" s="72"/>
      <c r="AB94" s="72"/>
      <c r="AE94" s="96"/>
      <c r="AF94" s="96"/>
      <c r="AG94" s="96"/>
      <c r="AH94" s="87"/>
      <c r="AS94" s="72"/>
      <c r="AT94" s="75"/>
      <c r="AU94" s="75"/>
      <c r="AV94" s="75"/>
      <c r="AW94" s="75"/>
      <c r="AX94" s="72"/>
      <c r="AY94" s="72"/>
      <c r="AZ94" s="72"/>
      <c r="BA94" s="72"/>
      <c r="BD94" s="93"/>
      <c r="BE94" s="93"/>
      <c r="BF94" s="93"/>
      <c r="BG94" s="88"/>
      <c r="BU94" s="72"/>
      <c r="BV94" s="72"/>
      <c r="BW94" s="72"/>
      <c r="BX94" s="72"/>
      <c r="BY94" s="72"/>
      <c r="BZ94" s="72"/>
      <c r="CA94" s="72"/>
      <c r="CB94" s="72"/>
      <c r="CE94" s="69"/>
      <c r="CF94" s="69"/>
      <c r="CG94" s="69"/>
      <c r="CH94" s="69"/>
      <c r="CI94" s="76"/>
      <c r="CJ94" s="76"/>
      <c r="CK94" s="177"/>
      <c r="CL94" s="70"/>
      <c r="CM94" s="76"/>
      <c r="CN94" s="77"/>
      <c r="CO94" s="77"/>
      <c r="CP94" s="77"/>
      <c r="CQ94" s="77"/>
      <c r="CR94" s="77"/>
      <c r="CS94" s="66"/>
      <c r="CT94" s="66"/>
      <c r="CU94" s="66"/>
      <c r="CV94" s="66"/>
      <c r="CW94" s="66"/>
      <c r="CX94" s="66"/>
      <c r="CY94" s="66"/>
      <c r="CZ94" s="66"/>
      <c r="DA94" s="168"/>
      <c r="DB94" s="67"/>
      <c r="DC94" s="69"/>
      <c r="DD94" s="69"/>
      <c r="DE94" s="69"/>
      <c r="DF94" s="69"/>
      <c r="DG94" s="70"/>
      <c r="DH94" s="70"/>
      <c r="DI94" s="70"/>
      <c r="DJ94" s="177"/>
      <c r="DK94" s="177"/>
      <c r="DL94" s="70"/>
      <c r="DM94" s="70"/>
      <c r="DN94" s="71"/>
      <c r="DO94" s="71"/>
      <c r="DP94" s="180"/>
      <c r="DQ94" s="180"/>
      <c r="DR94" s="71"/>
      <c r="DS94" s="180"/>
      <c r="DT94" s="66"/>
      <c r="DU94" s="79"/>
      <c r="DV94" s="79"/>
      <c r="DW94" s="119"/>
      <c r="DX94" s="79"/>
      <c r="DY94" s="136"/>
      <c r="DZ94" s="168"/>
      <c r="EA94" s="74"/>
      <c r="EB94" s="78"/>
      <c r="EC94" s="78"/>
      <c r="ED94" s="78"/>
      <c r="EE94" s="78"/>
      <c r="EF94" s="79" t="e">
        <f>(U94-BV94)/U94*100</f>
        <v>#DIV/0!</v>
      </c>
      <c r="EG94" s="66"/>
      <c r="EH94" s="66"/>
      <c r="EI94" s="66"/>
      <c r="EJ94" s="79"/>
      <c r="EK94" s="66"/>
      <c r="EL94" s="66"/>
      <c r="EM94" s="66"/>
      <c r="EN94" s="66"/>
      <c r="EO94" s="66"/>
      <c r="EP94" s="66"/>
    </row>
    <row r="95" spans="1:146" x14ac:dyDescent="0.3">
      <c r="A95" s="86"/>
      <c r="B95" s="86"/>
      <c r="C95" s="96"/>
      <c r="D95" s="93"/>
      <c r="E95" s="93"/>
      <c r="T95" s="72"/>
      <c r="U95" s="73"/>
      <c r="V95" s="73"/>
      <c r="W95" s="72"/>
      <c r="X95" s="72"/>
      <c r="Y95" s="72"/>
      <c r="Z95" s="72"/>
      <c r="AA95" s="72"/>
      <c r="AB95" s="72"/>
      <c r="AE95" s="96"/>
      <c r="AF95" s="96"/>
      <c r="AG95" s="96"/>
      <c r="AH95" s="87"/>
      <c r="AS95" s="72"/>
      <c r="AT95" s="75"/>
      <c r="AU95" s="75"/>
      <c r="AV95" s="75"/>
      <c r="AW95" s="75"/>
      <c r="AX95" s="72"/>
      <c r="AY95" s="72"/>
      <c r="AZ95" s="72"/>
      <c r="BA95" s="72"/>
      <c r="BD95" s="93"/>
      <c r="BE95" s="93"/>
      <c r="BF95" s="93"/>
      <c r="BG95" s="88"/>
      <c r="BU95" s="72"/>
      <c r="BV95" s="72"/>
      <c r="BW95" s="72"/>
      <c r="BX95" s="72"/>
      <c r="BY95" s="72"/>
      <c r="BZ95" s="72"/>
      <c r="CA95" s="72"/>
      <c r="CB95" s="72"/>
      <c r="CE95" s="69"/>
      <c r="CF95" s="69"/>
      <c r="CG95" s="69"/>
      <c r="CH95" s="69"/>
      <c r="CI95" s="76"/>
      <c r="CJ95" s="76"/>
      <c r="CK95" s="177"/>
      <c r="CL95" s="70"/>
      <c r="CM95" s="76"/>
      <c r="CN95" s="77"/>
      <c r="CO95" s="77"/>
      <c r="CP95" s="77"/>
      <c r="CQ95" s="77"/>
      <c r="CR95" s="77"/>
      <c r="CS95" s="66"/>
      <c r="CT95" s="66"/>
      <c r="CU95" s="66"/>
      <c r="CV95" s="66"/>
      <c r="CW95" s="66"/>
      <c r="CX95" s="66"/>
      <c r="CY95" s="66"/>
      <c r="CZ95" s="66"/>
      <c r="DA95" s="168"/>
      <c r="DB95" s="67"/>
      <c r="DC95" s="69"/>
      <c r="DD95" s="69"/>
      <c r="DE95" s="69"/>
      <c r="DF95" s="69"/>
      <c r="DG95" s="70"/>
      <c r="DH95" s="70"/>
      <c r="DI95" s="70"/>
      <c r="DJ95" s="177"/>
      <c r="DK95" s="177"/>
      <c r="DL95" s="70"/>
      <c r="DM95" s="70"/>
      <c r="DN95" s="71"/>
      <c r="DO95" s="71"/>
      <c r="DP95" s="180"/>
      <c r="DQ95" s="180"/>
      <c r="DR95" s="71"/>
      <c r="DS95" s="180"/>
      <c r="DT95" s="66"/>
      <c r="DU95" s="79"/>
      <c r="DV95" s="79"/>
      <c r="DW95" s="119"/>
      <c r="DX95" s="79"/>
      <c r="DY95" s="136"/>
      <c r="DZ95" s="168"/>
      <c r="EA95" s="74"/>
      <c r="EB95" s="78"/>
      <c r="EC95" s="78"/>
      <c r="ED95" s="78"/>
      <c r="EE95" s="78"/>
      <c r="EF95" s="79" t="e">
        <f>(U95-BV95)/U95*100</f>
        <v>#DIV/0!</v>
      </c>
      <c r="EG95" s="66"/>
      <c r="EH95" s="66"/>
      <c r="EI95" s="66"/>
      <c r="EJ95" s="79"/>
      <c r="EK95" s="66"/>
      <c r="EL95" s="66"/>
      <c r="EM95" s="66"/>
      <c r="EN95" s="66"/>
      <c r="EO95" s="66"/>
      <c r="EP95" s="66"/>
    </row>
    <row r="96" spans="1:146" x14ac:dyDescent="0.3">
      <c r="A96" s="86">
        <v>44699</v>
      </c>
      <c r="B96" s="104">
        <v>0</v>
      </c>
      <c r="C96" s="96"/>
      <c r="D96" s="93"/>
      <c r="E96" s="93"/>
      <c r="G96" s="70">
        <v>39.900399999999998</v>
      </c>
      <c r="J96" s="70">
        <v>1.4159999999999999</v>
      </c>
      <c r="L96" s="70">
        <v>6.7836999999999996</v>
      </c>
      <c r="M96" s="70">
        <v>64.815200000000004</v>
      </c>
      <c r="N96" s="71">
        <v>38.0214</v>
      </c>
      <c r="O96" s="71">
        <f>N96/1.28786</f>
        <v>29.522929510971689</v>
      </c>
      <c r="T96" s="72"/>
      <c r="U96" s="73">
        <v>140</v>
      </c>
      <c r="V96" s="73"/>
      <c r="W96" s="72">
        <v>147.82062931450781</v>
      </c>
      <c r="X96" s="72">
        <v>73</v>
      </c>
      <c r="Y96" s="72"/>
      <c r="Z96" s="72"/>
      <c r="AA96" s="72"/>
      <c r="AB96" s="72"/>
      <c r="AD96" s="74">
        <v>7.68</v>
      </c>
      <c r="AE96" s="96">
        <v>305.84051915725843</v>
      </c>
      <c r="AF96" s="96">
        <v>333.75543519719281</v>
      </c>
      <c r="AG96" s="96">
        <v>19.095853558687644</v>
      </c>
      <c r="AH96" s="87">
        <v>-27.914916039934383</v>
      </c>
      <c r="AI96" s="70">
        <v>24.293199999999999</v>
      </c>
      <c r="AK96" s="70">
        <v>6.0100000000000001E-2</v>
      </c>
      <c r="AM96" s="70">
        <v>0.46529999999999999</v>
      </c>
      <c r="AN96" s="71">
        <v>336.63720000000001</v>
      </c>
      <c r="AS96" s="72"/>
      <c r="AT96" s="75">
        <v>30</v>
      </c>
      <c r="AU96" s="75"/>
      <c r="AV96" s="75">
        <v>87.253639472456257</v>
      </c>
      <c r="AW96" s="75"/>
      <c r="AX96" s="72">
        <v>41</v>
      </c>
      <c r="AY96" s="72"/>
      <c r="AZ96" s="72"/>
      <c r="BA96" s="72"/>
      <c r="BC96" s="74">
        <v>6.96</v>
      </c>
      <c r="BD96" s="93">
        <v>338.1633923015379</v>
      </c>
      <c r="BE96" s="93">
        <v>334.85391715615219</v>
      </c>
      <c r="BF96" s="93">
        <v>18.632668577109769</v>
      </c>
      <c r="BG96" s="88">
        <v>3.3094751453857043</v>
      </c>
      <c r="BH96" s="70">
        <v>24.224499999999999</v>
      </c>
      <c r="BK96" s="70">
        <v>6.5100000000000005E-2</v>
      </c>
      <c r="BL96" s="70">
        <f>BK96*0.2259</f>
        <v>1.470609E-2</v>
      </c>
      <c r="BM96" s="70">
        <v>0.32479999999999998</v>
      </c>
      <c r="BN96" s="70">
        <v>0.19500000000000001</v>
      </c>
      <c r="BO96" s="182">
        <v>334.98469999999998</v>
      </c>
      <c r="BU96" s="72"/>
      <c r="BV96" s="72"/>
      <c r="BW96" s="72"/>
      <c r="BX96" s="72"/>
      <c r="BY96" s="72"/>
      <c r="BZ96" s="72"/>
      <c r="CA96" s="72"/>
      <c r="CB96" s="72"/>
      <c r="CE96" s="69"/>
      <c r="CF96" s="69"/>
      <c r="CG96" s="69"/>
      <c r="CH96" s="69"/>
      <c r="CI96" s="76"/>
      <c r="CJ96" s="76"/>
      <c r="CK96" s="177"/>
      <c r="CL96" s="70"/>
      <c r="CM96" s="76"/>
      <c r="CN96" s="77"/>
      <c r="CO96" s="77"/>
      <c r="CP96" s="77"/>
      <c r="CQ96" s="77"/>
      <c r="CR96" s="77"/>
      <c r="CS96" s="66"/>
      <c r="CT96" s="66"/>
      <c r="CU96" s="66"/>
      <c r="CV96" s="66"/>
      <c r="CW96" s="66"/>
      <c r="CX96" s="66"/>
      <c r="CY96" s="66"/>
      <c r="CZ96" s="66"/>
      <c r="DA96" s="168"/>
      <c r="DB96" s="67"/>
      <c r="DC96" s="69"/>
      <c r="DD96" s="69"/>
      <c r="DE96" s="69"/>
      <c r="DF96" s="69"/>
      <c r="DG96" s="70"/>
      <c r="DH96" s="70"/>
      <c r="DI96" s="70"/>
      <c r="DJ96" s="177"/>
      <c r="DK96" s="177"/>
      <c r="DL96" s="70"/>
      <c r="DM96" s="70"/>
      <c r="DN96" s="71"/>
      <c r="DO96" s="71"/>
      <c r="DP96" s="180"/>
      <c r="DQ96" s="180"/>
      <c r="DR96" s="71"/>
      <c r="DS96" s="180"/>
      <c r="DT96" s="66"/>
      <c r="DU96" s="79"/>
      <c r="DV96" s="79"/>
      <c r="DW96" s="119"/>
      <c r="DX96" s="79"/>
      <c r="DY96" s="136"/>
      <c r="DZ96" s="168"/>
      <c r="EA96" s="74"/>
      <c r="EB96" s="78"/>
      <c r="EC96" s="78"/>
      <c r="ED96" s="78"/>
      <c r="EE96" s="78"/>
      <c r="EF96" s="79"/>
      <c r="EG96" s="66"/>
      <c r="EH96" s="66"/>
      <c r="EI96" s="66"/>
      <c r="EJ96" s="79"/>
      <c r="EK96" s="79"/>
      <c r="EL96" s="66"/>
      <c r="EM96" s="66"/>
      <c r="EN96" s="66"/>
      <c r="EO96" s="66"/>
      <c r="EP96" s="66"/>
    </row>
    <row r="97" spans="1:146" s="116" customFormat="1" x14ac:dyDescent="0.3">
      <c r="A97" s="105">
        <v>44700</v>
      </c>
      <c r="B97" s="106">
        <f>A97-A96+B96</f>
        <v>1</v>
      </c>
      <c r="C97" s="107">
        <v>329.84265268023825</v>
      </c>
      <c r="D97" s="108">
        <v>21.035929514074301</v>
      </c>
      <c r="E97" s="108">
        <v>22.408327972396048</v>
      </c>
      <c r="F97" s="109">
        <f t="shared" si="23"/>
        <v>308.80672316616392</v>
      </c>
      <c r="G97" s="109">
        <v>44.612200000000001</v>
      </c>
      <c r="H97" s="109"/>
      <c r="I97" s="109"/>
      <c r="J97" s="109">
        <v>7.0499999999999993E-2</v>
      </c>
      <c r="K97" s="70">
        <f>J97*0.2259</f>
        <v>1.5925949999999998E-2</v>
      </c>
      <c r="L97" s="109">
        <v>4.2153</v>
      </c>
      <c r="M97" s="109">
        <v>46.006399999999999</v>
      </c>
      <c r="N97" s="109">
        <v>40.534700000000001</v>
      </c>
      <c r="O97" s="71">
        <f t="shared" ref="O97:O153" si="27">N97/1.28786</f>
        <v>31.474461509791439</v>
      </c>
      <c r="P97" s="109"/>
      <c r="Q97" s="109"/>
      <c r="R97" s="109"/>
      <c r="S97" s="109"/>
      <c r="T97" s="109"/>
      <c r="U97" s="110">
        <v>1030</v>
      </c>
      <c r="V97" s="110"/>
      <c r="W97" s="109">
        <f xml:space="preserve"> 2.7578*F97 + 196.43</f>
        <v>1048.0571811476468</v>
      </c>
      <c r="X97" s="109">
        <v>53</v>
      </c>
      <c r="Y97" s="109"/>
      <c r="Z97" s="109"/>
      <c r="AA97" s="109"/>
      <c r="AB97" s="109"/>
      <c r="AC97" s="168"/>
      <c r="AD97" s="109">
        <v>5.87</v>
      </c>
      <c r="AE97" s="111"/>
      <c r="AF97" s="111"/>
      <c r="AG97" s="111"/>
      <c r="AH97" s="112"/>
      <c r="AI97" s="109">
        <v>27.287800000000001</v>
      </c>
      <c r="AJ97" s="109"/>
      <c r="AK97" s="109">
        <v>6.4000000000000001E-2</v>
      </c>
      <c r="AL97" s="109">
        <v>8.5413999999999994</v>
      </c>
      <c r="AM97" s="109">
        <v>2.5604</v>
      </c>
      <c r="AN97" s="109">
        <v>324.18900000000002</v>
      </c>
      <c r="AO97" s="109"/>
      <c r="AP97" s="109"/>
      <c r="AQ97" s="109"/>
      <c r="AR97" s="109"/>
      <c r="AS97" s="109"/>
      <c r="AT97" s="113"/>
      <c r="AU97" s="113"/>
      <c r="AV97" s="113"/>
      <c r="AW97" s="113"/>
      <c r="AX97" s="109"/>
      <c r="AY97" s="109"/>
      <c r="AZ97" s="109"/>
      <c r="BA97" s="109"/>
      <c r="BB97" s="168"/>
      <c r="BC97" s="109"/>
      <c r="BD97" s="108"/>
      <c r="BE97" s="108"/>
      <c r="BF97" s="108"/>
      <c r="BG97" s="114"/>
      <c r="BH97" s="109">
        <v>24.412199999999999</v>
      </c>
      <c r="BI97" s="109"/>
      <c r="BJ97" s="109"/>
      <c r="BK97" s="109">
        <v>3.7999999999999999E-2</v>
      </c>
      <c r="BL97" s="70">
        <f t="shared" ref="BL97:BL144" si="28">BK97*0.2259</f>
        <v>8.5842000000000002E-3</v>
      </c>
      <c r="BM97" s="109">
        <v>7.7557</v>
      </c>
      <c r="BN97" s="109">
        <v>2.5771000000000002</v>
      </c>
      <c r="BO97" s="183">
        <v>321.21089999999998</v>
      </c>
      <c r="BP97" s="71"/>
      <c r="BQ97" s="109"/>
      <c r="BR97" s="109"/>
      <c r="BS97" s="109"/>
      <c r="BT97" s="109"/>
      <c r="BU97" s="109"/>
      <c r="BV97" s="109"/>
      <c r="BW97" s="109"/>
      <c r="BX97" s="109"/>
      <c r="BY97" s="109"/>
      <c r="BZ97" s="109"/>
      <c r="CA97" s="109"/>
      <c r="CB97" s="109"/>
      <c r="CC97" s="168"/>
      <c r="CD97" s="109"/>
      <c r="CE97" s="109"/>
      <c r="CF97" s="109"/>
      <c r="CG97" s="109"/>
      <c r="CH97" s="109"/>
      <c r="CI97" s="115"/>
      <c r="CJ97" s="115"/>
      <c r="CK97" s="113"/>
      <c r="CL97" s="109"/>
      <c r="CM97" s="115"/>
      <c r="CN97" s="115"/>
      <c r="CO97" s="115"/>
      <c r="CP97" s="115"/>
      <c r="CQ97" s="115"/>
      <c r="CR97" s="115"/>
      <c r="CS97" s="115"/>
      <c r="CT97" s="115"/>
      <c r="CU97" s="115"/>
      <c r="CV97" s="115"/>
      <c r="CW97" s="115"/>
      <c r="CX97" s="115"/>
      <c r="CY97" s="115"/>
      <c r="CZ97" s="115"/>
      <c r="DA97" s="168"/>
      <c r="DB97" s="115"/>
      <c r="DC97" s="109"/>
      <c r="DD97" s="109"/>
      <c r="DE97" s="109"/>
      <c r="DF97" s="109"/>
      <c r="DG97" s="109"/>
      <c r="DH97" s="109"/>
      <c r="DI97" s="109"/>
      <c r="DJ97" s="113"/>
      <c r="DK97" s="177"/>
      <c r="DL97" s="109"/>
      <c r="DM97" s="109"/>
      <c r="DN97" s="109"/>
      <c r="DO97" s="71"/>
      <c r="DP97" s="113"/>
      <c r="DQ97" s="113"/>
      <c r="DR97" s="109"/>
      <c r="DS97" s="113"/>
      <c r="DT97" s="115"/>
      <c r="DU97" s="109"/>
      <c r="DV97" s="109"/>
      <c r="DW97" s="110"/>
      <c r="DX97" s="109"/>
      <c r="DY97" s="113"/>
      <c r="DZ97" s="168"/>
      <c r="EA97" s="109"/>
      <c r="EB97" s="109"/>
      <c r="EC97" s="109"/>
      <c r="ED97" s="109"/>
      <c r="EE97" s="109"/>
      <c r="EF97" s="109"/>
      <c r="EG97" s="115"/>
      <c r="EH97" s="115"/>
      <c r="EI97" s="115"/>
      <c r="EJ97" s="109"/>
      <c r="EK97" s="109"/>
      <c r="EL97" s="115"/>
      <c r="EM97" s="115"/>
      <c r="EN97" s="115"/>
      <c r="EO97" s="115"/>
      <c r="EP97" s="115"/>
    </row>
    <row r="98" spans="1:146" ht="16.2" customHeight="1" x14ac:dyDescent="0.3">
      <c r="A98" s="86">
        <v>44701</v>
      </c>
      <c r="B98" s="106">
        <f t="shared" ref="B98:B161" si="29">A98-A97+B97</f>
        <v>2</v>
      </c>
      <c r="C98" s="96">
        <v>320.02844697306421</v>
      </c>
      <c r="D98" s="93">
        <v>26.940270043481579</v>
      </c>
      <c r="E98" s="93">
        <v>22.197789344406104</v>
      </c>
      <c r="F98" s="69">
        <f t="shared" si="23"/>
        <v>293.08817692958263</v>
      </c>
      <c r="G98" s="70">
        <v>44.777999999999999</v>
      </c>
      <c r="L98" s="70">
        <v>1.3664000000000001</v>
      </c>
      <c r="M98" s="70">
        <v>44.084499999999998</v>
      </c>
      <c r="N98" s="71">
        <v>40.776200000000003</v>
      </c>
      <c r="O98" s="71">
        <f t="shared" si="27"/>
        <v>31.661981892441727</v>
      </c>
      <c r="T98" s="72"/>
      <c r="U98" s="73">
        <v>1010</v>
      </c>
      <c r="V98" s="73"/>
      <c r="W98" s="72">
        <f t="shared" ref="W98:W105" si="30" xml:space="preserve"> 2.7578*F98 + 196.43</f>
        <v>1004.708574336403</v>
      </c>
      <c r="X98" s="72"/>
      <c r="Y98" s="72"/>
      <c r="Z98" s="72"/>
      <c r="AA98" s="72"/>
      <c r="AB98" s="72"/>
      <c r="AD98" s="74">
        <v>6.21</v>
      </c>
      <c r="AE98" s="96">
        <v>211.75215574717751</v>
      </c>
      <c r="AF98" s="96">
        <v>143.16881531772066</v>
      </c>
      <c r="AG98" s="96">
        <v>18.316860635124858</v>
      </c>
      <c r="AH98" s="96">
        <f t="shared" si="7"/>
        <v>68.583340429456854</v>
      </c>
      <c r="AI98" s="70">
        <v>45.298499999999997</v>
      </c>
      <c r="AK98" s="70">
        <v>5.6500000000000002E-2</v>
      </c>
      <c r="AL98" s="70">
        <v>6.0259</v>
      </c>
      <c r="AM98" s="70">
        <v>3.3654999999999999</v>
      </c>
      <c r="AN98" s="71">
        <v>160.05340000000001</v>
      </c>
      <c r="AS98" s="72"/>
      <c r="AT98" s="75">
        <v>300</v>
      </c>
      <c r="AU98" s="75"/>
      <c r="AV98" s="75">
        <f xml:space="preserve"> 3.2049*AH98 + 158.88</f>
        <v>378.68274774236625</v>
      </c>
      <c r="AW98" s="75"/>
      <c r="AX98" s="72">
        <v>38</v>
      </c>
      <c r="AY98" s="72"/>
      <c r="AZ98" s="72"/>
      <c r="BA98" s="72"/>
      <c r="BC98" s="74">
        <v>6.72</v>
      </c>
      <c r="BD98" s="93">
        <v>206.20499599964435</v>
      </c>
      <c r="BE98" s="93">
        <v>142.07033335876116</v>
      </c>
      <c r="BF98" s="93">
        <v>18.801099479501723</v>
      </c>
      <c r="BG98" s="88">
        <f t="shared" si="25"/>
        <v>64.134662640883192</v>
      </c>
      <c r="BH98" s="70">
        <v>52.566099999999999</v>
      </c>
      <c r="BK98" s="70">
        <v>8.4099999999999994E-2</v>
      </c>
      <c r="BL98" s="70">
        <f t="shared" si="28"/>
        <v>1.8998189999999998E-2</v>
      </c>
      <c r="BM98" s="70">
        <v>7.1566999999999998</v>
      </c>
      <c r="BN98" s="70">
        <v>3.5497000000000001</v>
      </c>
      <c r="BO98" s="182">
        <v>157.21709999999999</v>
      </c>
      <c r="BU98" s="72"/>
      <c r="BV98" s="72">
        <v>340</v>
      </c>
      <c r="BW98" s="72"/>
      <c r="BX98" s="72">
        <f t="shared" ref="BX98:BX115" si="31" xml:space="preserve"> 3.2275*BG98 + 149.91</f>
        <v>356.90462367345049</v>
      </c>
      <c r="BY98" s="72">
        <v>40</v>
      </c>
      <c r="BZ98" s="72"/>
      <c r="CA98" s="72"/>
      <c r="CB98" s="72"/>
      <c r="CD98" s="74">
        <v>6.69</v>
      </c>
      <c r="CE98" s="69"/>
      <c r="CF98" s="69"/>
      <c r="CG98" s="69"/>
      <c r="CH98" s="69"/>
      <c r="CI98" s="76"/>
      <c r="CJ98" s="76"/>
      <c r="CK98" s="177"/>
      <c r="CL98" s="70"/>
      <c r="CM98" s="76"/>
      <c r="CN98" s="77"/>
      <c r="CO98" s="77"/>
      <c r="CP98" s="77"/>
      <c r="CQ98" s="77"/>
      <c r="CR98" s="77"/>
      <c r="CS98" s="66"/>
      <c r="CT98" s="66"/>
      <c r="CU98" s="66"/>
      <c r="CV98" s="66"/>
      <c r="CW98" s="66"/>
      <c r="CX98" s="66"/>
      <c r="CY98" s="66"/>
      <c r="CZ98" s="66"/>
      <c r="DA98" s="168"/>
      <c r="DB98" s="67"/>
      <c r="DC98" s="69"/>
      <c r="DD98" s="69"/>
      <c r="DE98" s="69"/>
      <c r="DF98" s="69"/>
      <c r="DG98" s="70"/>
      <c r="DH98" s="70"/>
      <c r="DI98" s="70"/>
      <c r="DJ98" s="177"/>
      <c r="DK98" s="177"/>
      <c r="DL98" s="70"/>
      <c r="DM98" s="70"/>
      <c r="DN98" s="71"/>
      <c r="DO98" s="71"/>
      <c r="DP98" s="180"/>
      <c r="DQ98" s="180"/>
      <c r="DR98" s="71"/>
      <c r="DS98" s="180"/>
      <c r="DT98" s="66"/>
      <c r="DU98" s="79"/>
      <c r="DV98" s="79"/>
      <c r="DW98" s="119"/>
      <c r="DX98" s="79"/>
      <c r="DY98" s="136"/>
      <c r="DZ98" s="168"/>
      <c r="EA98" s="74"/>
      <c r="EB98" s="78">
        <f t="shared" ref="EB98:EB134" si="32">(C98-BD98)/C98*100</f>
        <v>35.566666666666677</v>
      </c>
      <c r="EC98" s="78">
        <f t="shared" ref="EC98:EC134" si="33">(D98-BE98)/D98*100</f>
        <v>-427.35304111450904</v>
      </c>
      <c r="ED98" s="78">
        <f t="shared" ref="ED98:ED134" si="34">(E98-BF98)/E98*100</f>
        <v>15.301928548846039</v>
      </c>
      <c r="EE98" s="78">
        <f t="shared" ref="EE98:EE161" si="35">(F98-BG98)/F98*100</f>
        <v>78.117622036902503</v>
      </c>
      <c r="EF98" s="79">
        <f t="shared" ref="EF98:EF115" si="36">(W98-BX98)/W98*100</f>
        <v>64.476801254614415</v>
      </c>
      <c r="EG98" s="66"/>
      <c r="EH98" s="66"/>
      <c r="EI98" s="66"/>
      <c r="EJ98" s="79"/>
      <c r="EK98" s="79"/>
      <c r="EL98" s="66"/>
      <c r="EM98" s="66"/>
      <c r="EN98" s="66"/>
      <c r="EO98" s="66"/>
      <c r="EP98" s="79"/>
    </row>
    <row r="99" spans="1:146" ht="16.5" customHeight="1" x14ac:dyDescent="0.3">
      <c r="A99" s="86">
        <v>44704</v>
      </c>
      <c r="B99" s="106">
        <f t="shared" si="29"/>
        <v>5</v>
      </c>
      <c r="C99" s="96">
        <v>306.97674418604657</v>
      </c>
      <c r="D99" s="93">
        <v>48.90122600046265</v>
      </c>
      <c r="E99" s="93">
        <v>20.53355989804588</v>
      </c>
      <c r="F99" s="69">
        <f t="shared" si="23"/>
        <v>258.07551818558392</v>
      </c>
      <c r="J99" s="70">
        <v>8.2000000000000007E-3</v>
      </c>
      <c r="K99" s="70">
        <f t="shared" ref="K99:K110" si="37">J99*0.2259</f>
        <v>1.85238E-3</v>
      </c>
      <c r="L99" s="70">
        <v>1.2841</v>
      </c>
      <c r="T99" s="72"/>
      <c r="U99" s="117"/>
      <c r="V99" s="117"/>
      <c r="W99" s="101">
        <f t="shared" si="30"/>
        <v>908.15066405220341</v>
      </c>
      <c r="X99" s="72"/>
      <c r="Y99" s="72"/>
      <c r="Z99" s="72"/>
      <c r="AA99" s="72"/>
      <c r="AB99" s="72"/>
      <c r="AD99" s="74">
        <v>6.87</v>
      </c>
      <c r="AE99" s="96">
        <v>173.5396447537081</v>
      </c>
      <c r="AF99" s="96">
        <v>107.05528568123989</v>
      </c>
      <c r="AG99" s="96">
        <v>14.562446898895498</v>
      </c>
      <c r="AH99" s="96">
        <f t="shared" si="7"/>
        <v>66.484359072468209</v>
      </c>
      <c r="AK99" s="70">
        <v>7.9000000000000008E-3</v>
      </c>
      <c r="AS99" s="72"/>
      <c r="AT99" s="75">
        <f>51*5</f>
        <v>255</v>
      </c>
      <c r="AU99" s="75"/>
      <c r="AV99" s="75">
        <f t="shared" ref="AV99:AV105" si="38" xml:space="preserve"> 3.2049*AH99 + 158.88</f>
        <v>371.95572239135333</v>
      </c>
      <c r="AW99" s="75"/>
      <c r="AX99" s="72"/>
      <c r="AY99" s="72"/>
      <c r="AZ99" s="72"/>
      <c r="BA99" s="72"/>
      <c r="BC99" s="74">
        <v>6.74</v>
      </c>
      <c r="BD99" s="93">
        <v>182.6588536898004</v>
      </c>
      <c r="BE99" s="93">
        <v>108.48947490168865</v>
      </c>
      <c r="BF99" s="93">
        <v>13.549702633814784</v>
      </c>
      <c r="BG99" s="88">
        <f t="shared" si="25"/>
        <v>74.169378788111743</v>
      </c>
      <c r="BK99" s="70">
        <v>2.4799999999999999E-2</v>
      </c>
      <c r="BL99" s="70">
        <f t="shared" si="28"/>
        <v>5.6023199999999992E-3</v>
      </c>
      <c r="BU99" s="72"/>
      <c r="BV99" s="101"/>
      <c r="BW99" s="101"/>
      <c r="BX99" s="101">
        <f t="shared" si="31"/>
        <v>389.29167003863063</v>
      </c>
      <c r="BY99" s="72"/>
      <c r="BZ99" s="72"/>
      <c r="CA99" s="72"/>
      <c r="CB99" s="72"/>
      <c r="CD99" s="74">
        <v>6.74</v>
      </c>
      <c r="CE99" s="69"/>
      <c r="CF99" s="69"/>
      <c r="CG99" s="69"/>
      <c r="CH99" s="69"/>
      <c r="CI99" s="76"/>
      <c r="CJ99" s="76"/>
      <c r="CK99" s="177"/>
      <c r="CL99" s="70"/>
      <c r="CM99" s="76"/>
      <c r="CN99" s="77"/>
      <c r="CO99" s="77"/>
      <c r="CP99" s="77"/>
      <c r="CQ99" s="77"/>
      <c r="CR99" s="77"/>
      <c r="CS99" s="66"/>
      <c r="CT99" s="66"/>
      <c r="CU99" s="66"/>
      <c r="CV99" s="66"/>
      <c r="CW99" s="66"/>
      <c r="CX99" s="66"/>
      <c r="CY99" s="66"/>
      <c r="CZ99" s="66"/>
      <c r="DA99" s="168"/>
      <c r="DB99" s="67"/>
      <c r="DC99" s="69"/>
      <c r="DD99" s="69"/>
      <c r="DE99" s="69"/>
      <c r="DF99" s="69"/>
      <c r="DG99" s="70"/>
      <c r="DH99" s="70"/>
      <c r="DI99" s="70"/>
      <c r="DJ99" s="177"/>
      <c r="DK99" s="177"/>
      <c r="DL99" s="70"/>
      <c r="DM99" s="70"/>
      <c r="DN99" s="71"/>
      <c r="DO99" s="71"/>
      <c r="DP99" s="180"/>
      <c r="DQ99" s="180"/>
      <c r="DR99" s="71"/>
      <c r="DS99" s="180"/>
      <c r="DT99" s="66"/>
      <c r="DU99" s="79"/>
      <c r="DV99" s="79"/>
      <c r="DW99" s="119"/>
      <c r="DX99" s="79"/>
      <c r="DY99" s="136"/>
      <c r="DZ99" s="168"/>
      <c r="EA99" s="74"/>
      <c r="EB99" s="78">
        <f t="shared" si="32"/>
        <v>40.497494631352914</v>
      </c>
      <c r="EC99" s="78">
        <f t="shared" si="33"/>
        <v>-121.85430463576157</v>
      </c>
      <c r="ED99" s="78">
        <f t="shared" si="34"/>
        <v>34.011916583912608</v>
      </c>
      <c r="EE99" s="78">
        <f t="shared" si="35"/>
        <v>71.260590965945084</v>
      </c>
      <c r="EF99" s="79">
        <f t="shared" si="36"/>
        <v>57.133580864039004</v>
      </c>
      <c r="EG99" s="66"/>
      <c r="EH99" s="66"/>
      <c r="EI99" s="66"/>
      <c r="EJ99" s="79"/>
      <c r="EK99" s="79"/>
      <c r="EL99" s="66"/>
      <c r="EM99" s="66"/>
      <c r="EN99" s="66"/>
      <c r="EO99" s="66"/>
      <c r="EP99" s="79"/>
    </row>
    <row r="100" spans="1:146" ht="16.95" customHeight="1" x14ac:dyDescent="0.3">
      <c r="A100" s="86">
        <v>44705</v>
      </c>
      <c r="B100" s="106">
        <f t="shared" si="29"/>
        <v>6</v>
      </c>
      <c r="C100" s="96">
        <v>282.69547701886103</v>
      </c>
      <c r="D100" s="93">
        <v>19.181124219292162</v>
      </c>
      <c r="E100" s="93">
        <v>21.410365335598982</v>
      </c>
      <c r="F100" s="69">
        <f t="shared" si="23"/>
        <v>263.51435279956888</v>
      </c>
      <c r="J100" s="70">
        <v>8.0600000000000005E-2</v>
      </c>
      <c r="K100" s="70">
        <f t="shared" si="37"/>
        <v>1.8207540000000001E-2</v>
      </c>
      <c r="T100" s="72"/>
      <c r="U100" s="117"/>
      <c r="V100" s="117"/>
      <c r="W100" s="101">
        <f t="shared" si="30"/>
        <v>923.14988215065114</v>
      </c>
      <c r="X100" s="72"/>
      <c r="Y100" s="72"/>
      <c r="Z100" s="72"/>
      <c r="AA100" s="72"/>
      <c r="AB100" s="72"/>
      <c r="AD100" s="74">
        <v>5.56</v>
      </c>
      <c r="AE100" s="96">
        <v>126.73503021424648</v>
      </c>
      <c r="AF100" s="96">
        <v>105.89868147120056</v>
      </c>
      <c r="AG100" s="96">
        <v>13.355989804587935</v>
      </c>
      <c r="AH100" s="96">
        <f t="shared" si="7"/>
        <v>20.836348743045917</v>
      </c>
      <c r="AK100" s="70">
        <v>2.4199999999999999E-2</v>
      </c>
      <c r="AS100" s="72"/>
      <c r="AT100" s="75">
        <v>220</v>
      </c>
      <c r="AU100" s="75"/>
      <c r="AV100" s="75">
        <f t="shared" si="38"/>
        <v>225.65841408658787</v>
      </c>
      <c r="AW100" s="75"/>
      <c r="AX100" s="72"/>
      <c r="AY100" s="72"/>
      <c r="AZ100" s="72"/>
      <c r="BA100" s="72"/>
      <c r="BC100" s="74">
        <v>6.81</v>
      </c>
      <c r="BD100" s="93">
        <v>135.24995422083867</v>
      </c>
      <c r="BE100" s="93">
        <v>99.606754568586652</v>
      </c>
      <c r="BF100" s="93">
        <v>12.547153780798642</v>
      </c>
      <c r="BG100" s="88">
        <f t="shared" si="25"/>
        <v>35.643199652252022</v>
      </c>
      <c r="BK100" s="70">
        <v>3.3300000000000003E-2</v>
      </c>
      <c r="BL100" s="70">
        <f t="shared" si="28"/>
        <v>7.5224700000000007E-3</v>
      </c>
      <c r="BU100" s="72"/>
      <c r="BV100" s="72">
        <v>290</v>
      </c>
      <c r="BW100" s="72"/>
      <c r="BX100" s="72">
        <f t="shared" si="31"/>
        <v>264.94842687764339</v>
      </c>
      <c r="BY100" s="72"/>
      <c r="BZ100" s="72"/>
      <c r="CA100" s="72"/>
      <c r="CB100" s="72"/>
      <c r="CD100" s="74">
        <v>6.76</v>
      </c>
      <c r="CE100" s="69"/>
      <c r="CF100" s="69"/>
      <c r="CG100" s="69"/>
      <c r="CH100" s="69"/>
      <c r="CI100" s="76"/>
      <c r="CJ100" s="76"/>
      <c r="CK100" s="177"/>
      <c r="CL100" s="70"/>
      <c r="CM100" s="76"/>
      <c r="CN100" s="77"/>
      <c r="CO100" s="77"/>
      <c r="CP100" s="77"/>
      <c r="CQ100" s="77"/>
      <c r="CR100" s="77"/>
      <c r="CS100" s="66"/>
      <c r="CT100" s="66"/>
      <c r="CU100" s="66"/>
      <c r="CV100" s="66"/>
      <c r="CW100" s="66"/>
      <c r="CX100" s="66"/>
      <c r="CY100" s="66"/>
      <c r="CZ100" s="66"/>
      <c r="DA100" s="168"/>
      <c r="DB100" s="67"/>
      <c r="DC100" s="69"/>
      <c r="DD100" s="69"/>
      <c r="DE100" s="69"/>
      <c r="DF100" s="69"/>
      <c r="DG100" s="70"/>
      <c r="DH100" s="70"/>
      <c r="DI100" s="70"/>
      <c r="DJ100" s="177"/>
      <c r="DK100" s="177"/>
      <c r="DL100" s="70"/>
      <c r="DM100" s="70"/>
      <c r="DN100" s="71"/>
      <c r="DO100" s="71"/>
      <c r="DP100" s="180"/>
      <c r="DQ100" s="180"/>
      <c r="DR100" s="71"/>
      <c r="DS100" s="180"/>
      <c r="DT100" s="66"/>
      <c r="DU100" s="79"/>
      <c r="DV100" s="79"/>
      <c r="DW100" s="119"/>
      <c r="DX100" s="79"/>
      <c r="DY100" s="136"/>
      <c r="DZ100" s="168"/>
      <c r="EA100" s="74"/>
      <c r="EB100" s="78">
        <f t="shared" si="32"/>
        <v>52.157015157403805</v>
      </c>
      <c r="EC100" s="78">
        <f t="shared" si="33"/>
        <v>-419.29570670525811</v>
      </c>
      <c r="ED100" s="78">
        <f t="shared" si="34"/>
        <v>41.396825396825399</v>
      </c>
      <c r="EE100" s="78">
        <f t="shared" si="35"/>
        <v>86.473905776448348</v>
      </c>
      <c r="EF100" s="79">
        <f t="shared" si="36"/>
        <v>71.299522211886512</v>
      </c>
      <c r="EG100" s="66"/>
      <c r="EH100" s="66"/>
      <c r="EI100" s="66"/>
      <c r="EJ100" s="79"/>
      <c r="EK100" s="79"/>
      <c r="EL100" s="66"/>
      <c r="EM100" s="66"/>
      <c r="EN100" s="66"/>
      <c r="EO100" s="66"/>
      <c r="EP100" s="79"/>
    </row>
    <row r="101" spans="1:146" x14ac:dyDescent="0.3">
      <c r="A101" s="86">
        <v>44706</v>
      </c>
      <c r="B101" s="106">
        <f t="shared" si="29"/>
        <v>7</v>
      </c>
      <c r="C101" s="96">
        <v>252.48123054385644</v>
      </c>
      <c r="D101" s="93">
        <v>31.237566504742077</v>
      </c>
      <c r="E101" s="93">
        <v>21.947323704333051</v>
      </c>
      <c r="F101" s="69">
        <f t="shared" si="23"/>
        <v>221.24366403911438</v>
      </c>
      <c r="J101" s="70">
        <v>2.35E-2</v>
      </c>
      <c r="K101" s="70">
        <f t="shared" si="37"/>
        <v>5.3086499999999998E-3</v>
      </c>
      <c r="L101" s="70">
        <v>3.7103999999999999</v>
      </c>
      <c r="T101" s="72"/>
      <c r="U101" s="73">
        <v>810</v>
      </c>
      <c r="V101" s="73"/>
      <c r="W101" s="72">
        <f t="shared" si="30"/>
        <v>806.57577668706972</v>
      </c>
      <c r="X101" s="72"/>
      <c r="Y101" s="72"/>
      <c r="Z101" s="72"/>
      <c r="AA101" s="72"/>
      <c r="AB101" s="72"/>
      <c r="AD101" s="74">
        <v>6.24</v>
      </c>
      <c r="AE101" s="97">
        <v>137.88683391320271</v>
      </c>
      <c r="AF101" s="97">
        <v>112.69951422623178</v>
      </c>
      <c r="AG101" s="97">
        <v>13.291418861512319</v>
      </c>
      <c r="AH101" s="96">
        <f t="shared" si="7"/>
        <v>25.187319686970923</v>
      </c>
      <c r="AK101" s="70">
        <v>2.01E-2</v>
      </c>
      <c r="AS101" s="72"/>
      <c r="AT101" s="75">
        <f>43*5</f>
        <v>215</v>
      </c>
      <c r="AU101" s="75"/>
      <c r="AV101" s="75">
        <f t="shared" si="38"/>
        <v>239.6028408647731</v>
      </c>
      <c r="AW101" s="75"/>
      <c r="AX101" s="72"/>
      <c r="AY101" s="72"/>
      <c r="AZ101" s="72"/>
      <c r="BA101" s="72"/>
      <c r="BC101" s="74">
        <v>6.93</v>
      </c>
      <c r="BD101" s="93">
        <v>138.76579381065741</v>
      </c>
      <c r="BE101" s="93">
        <v>107.74924820726348</v>
      </c>
      <c r="BF101" s="93">
        <v>14.779949022939679</v>
      </c>
      <c r="BG101" s="88">
        <f t="shared" si="25"/>
        <v>31.016545603393936</v>
      </c>
      <c r="BK101" s="70">
        <v>3.2099999999999997E-2</v>
      </c>
      <c r="BL101" s="70">
        <f t="shared" si="28"/>
        <v>7.2513899999999991E-3</v>
      </c>
      <c r="BU101" s="72"/>
      <c r="BV101" s="72">
        <f>48*5</f>
        <v>240</v>
      </c>
      <c r="BW101" s="72"/>
      <c r="BX101" s="72">
        <f t="shared" si="31"/>
        <v>250.01590093495395</v>
      </c>
      <c r="BY101" s="72"/>
      <c r="BZ101" s="72"/>
      <c r="CA101" s="72"/>
      <c r="CB101" s="72"/>
      <c r="CD101" s="74">
        <v>6.94</v>
      </c>
      <c r="CE101" s="69"/>
      <c r="CF101" s="69"/>
      <c r="CG101" s="69"/>
      <c r="CH101" s="69"/>
      <c r="CI101" s="76"/>
      <c r="CJ101" s="76"/>
      <c r="CK101" s="177"/>
      <c r="CL101" s="70"/>
      <c r="CM101" s="76"/>
      <c r="CN101" s="77"/>
      <c r="CO101" s="77"/>
      <c r="CP101" s="77"/>
      <c r="CQ101" s="77"/>
      <c r="CR101" s="77"/>
      <c r="CS101" s="66"/>
      <c r="CT101" s="66"/>
      <c r="CU101" s="66"/>
      <c r="CV101" s="66"/>
      <c r="CW101" s="66"/>
      <c r="CX101" s="66"/>
      <c r="CY101" s="66"/>
      <c r="CZ101" s="66"/>
      <c r="DA101" s="168"/>
      <c r="DB101" s="67"/>
      <c r="DC101" s="69"/>
      <c r="DD101" s="69"/>
      <c r="DE101" s="69"/>
      <c r="DF101" s="69"/>
      <c r="DG101" s="70"/>
      <c r="DH101" s="70"/>
      <c r="DI101" s="70"/>
      <c r="DJ101" s="177"/>
      <c r="DK101" s="177"/>
      <c r="DL101" s="70"/>
      <c r="DM101" s="70"/>
      <c r="DN101" s="71"/>
      <c r="DO101" s="71"/>
      <c r="DP101" s="180"/>
      <c r="DQ101" s="180"/>
      <c r="DR101" s="71"/>
      <c r="DS101" s="180"/>
      <c r="DT101" s="66"/>
      <c r="DU101" s="79"/>
      <c r="DV101" s="79"/>
      <c r="DW101" s="119"/>
      <c r="DX101" s="79"/>
      <c r="DY101" s="136"/>
      <c r="DZ101" s="168"/>
      <c r="EA101" s="74"/>
      <c r="EB101" s="78">
        <f t="shared" si="32"/>
        <v>45.039164490861609</v>
      </c>
      <c r="EC101" s="78">
        <f t="shared" si="33"/>
        <v>-244.93483412322274</v>
      </c>
      <c r="ED101" s="78">
        <f t="shared" si="34"/>
        <v>32.657169402291721</v>
      </c>
      <c r="EE101" s="78">
        <f t="shared" si="35"/>
        <v>85.980820857355539</v>
      </c>
      <c r="EF101" s="79">
        <f t="shared" si="36"/>
        <v>69.002800708710893</v>
      </c>
      <c r="EG101" s="66"/>
      <c r="EH101" s="66"/>
      <c r="EI101" s="66"/>
      <c r="EJ101" s="79"/>
      <c r="EK101" s="79"/>
      <c r="EL101" s="66"/>
      <c r="EM101" s="66"/>
      <c r="EN101" s="66"/>
      <c r="EO101" s="66"/>
      <c r="EP101" s="79"/>
    </row>
    <row r="102" spans="1:146" x14ac:dyDescent="0.3">
      <c r="A102" s="86">
        <v>44708</v>
      </c>
      <c r="B102" s="106">
        <f t="shared" si="29"/>
        <v>9</v>
      </c>
      <c r="C102" s="96">
        <v>346.81564245810051</v>
      </c>
      <c r="D102" s="93">
        <v>50.55307348636574</v>
      </c>
      <c r="E102" s="93">
        <v>25.432240311855079</v>
      </c>
      <c r="F102" s="69">
        <f t="shared" si="23"/>
        <v>296.26256897173477</v>
      </c>
      <c r="G102" s="70">
        <v>48.029899999999998</v>
      </c>
      <c r="J102" s="70">
        <v>2.98E-2</v>
      </c>
      <c r="K102" s="70">
        <f t="shared" si="37"/>
        <v>6.7318199999999995E-3</v>
      </c>
      <c r="L102" s="70">
        <v>0.75980000000000003</v>
      </c>
      <c r="T102" s="72"/>
      <c r="U102" s="73"/>
      <c r="V102" s="73"/>
      <c r="W102" s="72">
        <f t="shared" si="30"/>
        <v>1013.4629127102501</v>
      </c>
      <c r="X102" s="72"/>
      <c r="Y102" s="72"/>
      <c r="Z102" s="72"/>
      <c r="AA102" s="72"/>
      <c r="AB102" s="72"/>
      <c r="AD102" s="74">
        <v>6.15</v>
      </c>
      <c r="AE102" s="97">
        <v>137.26256983240222</v>
      </c>
      <c r="AF102" s="97">
        <v>124.78816823293791</v>
      </c>
      <c r="AG102" s="97">
        <v>15.175418481999541</v>
      </c>
      <c r="AH102" s="96">
        <f t="shared" ref="AH102:AH158" si="39">AE102-AF102</f>
        <v>12.474401599464315</v>
      </c>
      <c r="AK102" s="70">
        <v>9.4899999999999998E-2</v>
      </c>
      <c r="AL102" s="70">
        <v>3.4295</v>
      </c>
      <c r="AS102" s="72"/>
      <c r="AT102" s="75"/>
      <c r="AU102" s="75"/>
      <c r="AV102" s="75">
        <f t="shared" si="38"/>
        <v>198.85920968612317</v>
      </c>
      <c r="AW102" s="75"/>
      <c r="AX102" s="72"/>
      <c r="AY102" s="72"/>
      <c r="AZ102" s="72"/>
      <c r="BA102" s="72"/>
      <c r="BC102" s="74">
        <v>6.88</v>
      </c>
      <c r="BD102" s="93">
        <v>146.14525139664804</v>
      </c>
      <c r="BE102" s="93">
        <v>120.35125558465566</v>
      </c>
      <c r="BF102" s="93">
        <v>15.175418481999541</v>
      </c>
      <c r="BG102" s="88">
        <f t="shared" si="25"/>
        <v>25.793995811992374</v>
      </c>
      <c r="BH102" s="70">
        <v>42.5075</v>
      </c>
      <c r="BK102" s="70">
        <v>0.14849999999999999</v>
      </c>
      <c r="BL102" s="70">
        <f t="shared" si="28"/>
        <v>3.3546149999999997E-2</v>
      </c>
      <c r="BM102" s="70">
        <v>10.217000000000001</v>
      </c>
      <c r="BU102" s="72"/>
      <c r="BV102" s="72"/>
      <c r="BW102" s="72"/>
      <c r="BX102" s="72">
        <f t="shared" si="31"/>
        <v>233.16012148320539</v>
      </c>
      <c r="BY102" s="72"/>
      <c r="BZ102" s="72"/>
      <c r="CA102" s="72"/>
      <c r="CB102" s="72"/>
      <c r="CD102" s="74">
        <v>6.94</v>
      </c>
      <c r="CE102" s="69"/>
      <c r="CF102" s="69"/>
      <c r="CG102" s="69"/>
      <c r="CH102" s="69"/>
      <c r="CI102" s="76"/>
      <c r="CJ102" s="76"/>
      <c r="CK102" s="177"/>
      <c r="CL102" s="70"/>
      <c r="CM102" s="76"/>
      <c r="CN102" s="77"/>
      <c r="CO102" s="77"/>
      <c r="CP102" s="77"/>
      <c r="CQ102" s="77"/>
      <c r="CR102" s="77"/>
      <c r="CS102" s="66"/>
      <c r="CT102" s="66"/>
      <c r="CU102" s="66"/>
      <c r="CV102" s="66"/>
      <c r="CW102" s="66"/>
      <c r="CX102" s="66"/>
      <c r="CY102" s="66"/>
      <c r="CZ102" s="66"/>
      <c r="DA102" s="168"/>
      <c r="DB102" s="67"/>
      <c r="DC102" s="69"/>
      <c r="DD102" s="69"/>
      <c r="DE102" s="69"/>
      <c r="DF102" s="69"/>
      <c r="DG102" s="70"/>
      <c r="DH102" s="70"/>
      <c r="DI102" s="70"/>
      <c r="DJ102" s="177"/>
      <c r="DK102" s="177"/>
      <c r="DL102" s="70"/>
      <c r="DM102" s="70"/>
      <c r="DN102" s="71"/>
      <c r="DO102" s="71"/>
      <c r="DP102" s="180"/>
      <c r="DQ102" s="180"/>
      <c r="DR102" s="71"/>
      <c r="DS102" s="180"/>
      <c r="DT102" s="66"/>
      <c r="DU102" s="79"/>
      <c r="DV102" s="79"/>
      <c r="DW102" s="119"/>
      <c r="DX102" s="79"/>
      <c r="DY102" s="136"/>
      <c r="DZ102" s="168"/>
      <c r="EA102" s="74"/>
      <c r="EB102" s="78">
        <f t="shared" si="32"/>
        <v>57.860824742268036</v>
      </c>
      <c r="EC102" s="78">
        <f t="shared" si="33"/>
        <v>-138.06911684037294</v>
      </c>
      <c r="ED102" s="78">
        <f t="shared" si="34"/>
        <v>40.329997295104135</v>
      </c>
      <c r="EE102" s="78">
        <f t="shared" si="35"/>
        <v>91.293535359016857</v>
      </c>
      <c r="EF102" s="79">
        <f t="shared" si="36"/>
        <v>76.993719399195612</v>
      </c>
      <c r="EG102" s="66"/>
      <c r="EH102" s="66"/>
      <c r="EI102" s="66"/>
      <c r="EJ102" s="79"/>
      <c r="EK102" s="79"/>
      <c r="EL102" s="66"/>
      <c r="EM102" s="66"/>
      <c r="EN102" s="66"/>
      <c r="EO102" s="66"/>
      <c r="EP102" s="79"/>
    </row>
    <row r="103" spans="1:146" x14ac:dyDescent="0.3">
      <c r="A103" s="86">
        <v>44711</v>
      </c>
      <c r="B103" s="106">
        <f t="shared" si="29"/>
        <v>12</v>
      </c>
      <c r="C103" s="96">
        <v>312.40223463687153</v>
      </c>
      <c r="D103" s="93">
        <v>18.274533970112465</v>
      </c>
      <c r="E103" s="93">
        <v>27.55789956432011</v>
      </c>
      <c r="F103" s="69">
        <f t="shared" si="23"/>
        <v>294.12770066675904</v>
      </c>
      <c r="G103" s="70">
        <v>32.406500000000001</v>
      </c>
      <c r="J103" s="70">
        <v>0.32419999999999999</v>
      </c>
      <c r="K103" s="70">
        <f t="shared" si="37"/>
        <v>7.3236779999999987E-2</v>
      </c>
      <c r="L103" s="70">
        <v>4.0610999999999997</v>
      </c>
      <c r="T103" s="72"/>
      <c r="U103" s="73"/>
      <c r="V103" s="73"/>
      <c r="W103" s="72">
        <f t="shared" si="30"/>
        <v>1007.5753728987881</v>
      </c>
      <c r="X103" s="72"/>
      <c r="Y103" s="72"/>
      <c r="Z103" s="72"/>
      <c r="AA103" s="72"/>
      <c r="AB103" s="72"/>
      <c r="AD103" s="74">
        <v>4.53</v>
      </c>
      <c r="AE103" s="97">
        <v>157.15083798882682</v>
      </c>
      <c r="AF103" s="97">
        <v>117.57818517947928</v>
      </c>
      <c r="AG103" s="97">
        <v>17.4283421233662</v>
      </c>
      <c r="AH103" s="96">
        <f t="shared" si="39"/>
        <v>39.572652809347545</v>
      </c>
      <c r="AK103" s="70">
        <v>5.3999999999999999E-2</v>
      </c>
      <c r="AL103" s="70">
        <v>16.6663</v>
      </c>
      <c r="AS103" s="72"/>
      <c r="AT103" s="75"/>
      <c r="AU103" s="75"/>
      <c r="AV103" s="75">
        <f t="shared" si="38"/>
        <v>285.70639498867797</v>
      </c>
      <c r="AW103" s="75"/>
      <c r="AX103" s="72"/>
      <c r="AY103" s="72"/>
      <c r="AZ103" s="72"/>
      <c r="BA103" s="72"/>
      <c r="BC103" s="74">
        <v>6.73</v>
      </c>
      <c r="BD103" s="93">
        <v>164.02234636871509</v>
      </c>
      <c r="BE103" s="93">
        <v>114.85133261438916</v>
      </c>
      <c r="BF103" s="93">
        <v>17.768860353130016</v>
      </c>
      <c r="BG103" s="88">
        <f t="shared" si="25"/>
        <v>49.171013754325926</v>
      </c>
      <c r="BK103" s="70">
        <v>0.16189999999999999</v>
      </c>
      <c r="BL103" s="70">
        <f t="shared" si="28"/>
        <v>3.6573209999999995E-2</v>
      </c>
      <c r="BM103" s="70">
        <v>18.601900000000001</v>
      </c>
      <c r="BU103" s="72"/>
      <c r="BV103" s="72"/>
      <c r="BW103" s="72"/>
      <c r="BX103" s="72">
        <f t="shared" si="31"/>
        <v>308.60944689208691</v>
      </c>
      <c r="BY103" s="72"/>
      <c r="BZ103" s="72"/>
      <c r="CA103" s="72"/>
      <c r="CB103" s="72"/>
      <c r="CD103" s="74">
        <v>6.67</v>
      </c>
      <c r="CE103" s="69"/>
      <c r="CF103" s="69"/>
      <c r="CG103" s="69"/>
      <c r="CH103" s="69"/>
      <c r="CI103" s="76"/>
      <c r="CJ103" s="76"/>
      <c r="CK103" s="177"/>
      <c r="CL103" s="70"/>
      <c r="CM103" s="76"/>
      <c r="CN103" s="77"/>
      <c r="CO103" s="77"/>
      <c r="CP103" s="77"/>
      <c r="CQ103" s="77"/>
      <c r="CR103" s="77"/>
      <c r="CS103" s="66"/>
      <c r="CT103" s="66"/>
      <c r="CU103" s="66"/>
      <c r="CV103" s="66"/>
      <c r="CW103" s="66"/>
      <c r="CX103" s="66"/>
      <c r="CY103" s="66"/>
      <c r="CZ103" s="66"/>
      <c r="DA103" s="168"/>
      <c r="DB103" s="67"/>
      <c r="DC103" s="69"/>
      <c r="DD103" s="69"/>
      <c r="DE103" s="69"/>
      <c r="DF103" s="69"/>
      <c r="DG103" s="70"/>
      <c r="DH103" s="70"/>
      <c r="DI103" s="70"/>
      <c r="DJ103" s="177"/>
      <c r="DK103" s="177"/>
      <c r="DL103" s="70"/>
      <c r="DM103" s="70"/>
      <c r="DN103" s="71"/>
      <c r="DO103" s="71"/>
      <c r="DP103" s="180"/>
      <c r="DQ103" s="180"/>
      <c r="DR103" s="71"/>
      <c r="DS103" s="180"/>
      <c r="DT103" s="66"/>
      <c r="DU103" s="79"/>
      <c r="DV103" s="79"/>
      <c r="DW103" s="119"/>
      <c r="DX103" s="79"/>
      <c r="DY103" s="136"/>
      <c r="DZ103" s="168"/>
      <c r="EA103" s="74"/>
      <c r="EB103" s="78">
        <f t="shared" si="32"/>
        <v>47.4964234620887</v>
      </c>
      <c r="EC103" s="78">
        <f t="shared" si="33"/>
        <v>-528.47749114820431</v>
      </c>
      <c r="ED103" s="78">
        <f t="shared" si="34"/>
        <v>35.521717423864203</v>
      </c>
      <c r="EE103" s="78">
        <f t="shared" si="35"/>
        <v>83.282426768080668</v>
      </c>
      <c r="EF103" s="79">
        <f t="shared" si="36"/>
        <v>69.371080795254116</v>
      </c>
      <c r="EG103" s="66"/>
      <c r="EH103" s="66"/>
      <c r="EI103" s="66"/>
      <c r="EJ103" s="79"/>
      <c r="EK103" s="79"/>
      <c r="EL103" s="66"/>
      <c r="EM103" s="66"/>
      <c r="EN103" s="66"/>
      <c r="EO103" s="66"/>
      <c r="EP103" s="79"/>
    </row>
    <row r="104" spans="1:146" x14ac:dyDescent="0.3">
      <c r="A104" s="86">
        <v>44713</v>
      </c>
      <c r="B104" s="106">
        <f t="shared" si="29"/>
        <v>14</v>
      </c>
      <c r="C104" s="96">
        <v>363.36169805908787</v>
      </c>
      <c r="D104" s="93">
        <v>21.63066202090592</v>
      </c>
      <c r="E104" s="93">
        <v>23.645457717808537</v>
      </c>
      <c r="F104" s="69">
        <f t="shared" si="23"/>
        <v>341.73103603818197</v>
      </c>
      <c r="G104" s="70">
        <v>36.069499999999998</v>
      </c>
      <c r="J104" s="70">
        <v>0.28860000000000002</v>
      </c>
      <c r="K104" s="70">
        <f t="shared" si="37"/>
        <v>6.5194740000000001E-2</v>
      </c>
      <c r="L104" s="70">
        <v>9.2765000000000004</v>
      </c>
      <c r="T104" s="72"/>
      <c r="U104" s="73"/>
      <c r="V104" s="73"/>
      <c r="W104" s="72">
        <f t="shared" si="30"/>
        <v>1138.8558511860983</v>
      </c>
      <c r="X104" s="72"/>
      <c r="Y104" s="72"/>
      <c r="Z104" s="72"/>
      <c r="AA104" s="72"/>
      <c r="AB104" s="72"/>
      <c r="AD104" s="74">
        <v>4.33</v>
      </c>
      <c r="AE104" s="97">
        <v>123.56821875896355</v>
      </c>
      <c r="AF104" s="97">
        <v>139.97677119628338</v>
      </c>
      <c r="AG104" s="97">
        <v>16.247528207514247</v>
      </c>
      <c r="AH104" s="96">
        <f t="shared" si="39"/>
        <v>-16.408552437319827</v>
      </c>
      <c r="AK104" s="70">
        <v>0.12740000000000001</v>
      </c>
      <c r="AL104" s="70">
        <v>11.647</v>
      </c>
      <c r="AS104" s="72"/>
      <c r="AT104" s="75"/>
      <c r="AU104" s="75"/>
      <c r="AV104" s="75">
        <f t="shared" si="38"/>
        <v>106.29223029363368</v>
      </c>
      <c r="AW104" s="75"/>
      <c r="AX104" s="72"/>
      <c r="AY104" s="72"/>
      <c r="AZ104" s="72"/>
      <c r="BA104" s="72"/>
      <c r="BC104" s="74">
        <v>6.8</v>
      </c>
      <c r="BD104" s="93">
        <v>133.60741944736588</v>
      </c>
      <c r="BE104" s="93">
        <v>137.51451800232286</v>
      </c>
      <c r="BF104" s="93">
        <v>14.621379551006166</v>
      </c>
      <c r="BG104" s="88">
        <f t="shared" si="25"/>
        <v>-3.9070985549569741</v>
      </c>
      <c r="BK104" s="70">
        <v>0.1217</v>
      </c>
      <c r="BL104" s="70">
        <f t="shared" si="28"/>
        <v>2.7492030000000001E-2</v>
      </c>
      <c r="BM104" s="70">
        <v>9.8397000000000006</v>
      </c>
      <c r="BU104" s="72"/>
      <c r="BV104" s="72"/>
      <c r="BW104" s="72"/>
      <c r="BX104" s="72">
        <f t="shared" si="31"/>
        <v>137.29983941387636</v>
      </c>
      <c r="BY104" s="72"/>
      <c r="BZ104" s="72"/>
      <c r="CA104" s="72"/>
      <c r="CB104" s="72"/>
      <c r="CD104" s="74">
        <v>6.72</v>
      </c>
      <c r="CE104" s="69"/>
      <c r="CF104" s="69"/>
      <c r="CG104" s="69"/>
      <c r="CH104" s="69"/>
      <c r="CI104" s="76"/>
      <c r="CJ104" s="76"/>
      <c r="CK104" s="177"/>
      <c r="CL104" s="70"/>
      <c r="CM104" s="76"/>
      <c r="CN104" s="77"/>
      <c r="CO104" s="77"/>
      <c r="CP104" s="77"/>
      <c r="CQ104" s="77"/>
      <c r="CR104" s="77"/>
      <c r="CS104" s="66"/>
      <c r="CT104" s="66"/>
      <c r="CU104" s="66"/>
      <c r="CV104" s="66"/>
      <c r="CW104" s="66"/>
      <c r="CX104" s="66"/>
      <c r="CY104" s="66"/>
      <c r="CZ104" s="66"/>
      <c r="DA104" s="168"/>
      <c r="DB104" s="67"/>
      <c r="DC104" s="69"/>
      <c r="DD104" s="69"/>
      <c r="DE104" s="69"/>
      <c r="DF104" s="69"/>
      <c r="DG104" s="70"/>
      <c r="DH104" s="70"/>
      <c r="DI104" s="70"/>
      <c r="DJ104" s="177"/>
      <c r="DK104" s="177"/>
      <c r="DL104" s="70"/>
      <c r="DM104" s="70"/>
      <c r="DN104" s="71"/>
      <c r="DO104" s="71"/>
      <c r="DP104" s="180"/>
      <c r="DQ104" s="180"/>
      <c r="DR104" s="71"/>
      <c r="DS104" s="180"/>
      <c r="DT104" s="66"/>
      <c r="DU104" s="79"/>
      <c r="DV104" s="79"/>
      <c r="DW104" s="119"/>
      <c r="DX104" s="79"/>
      <c r="DY104" s="136"/>
      <c r="DZ104" s="168"/>
      <c r="EA104" s="74"/>
      <c r="EB104" s="78">
        <f t="shared" si="32"/>
        <v>63.230186296179355</v>
      </c>
      <c r="EC104" s="78">
        <f t="shared" si="33"/>
        <v>-535.73883161512038</v>
      </c>
      <c r="ED104" s="78">
        <f t="shared" si="34"/>
        <v>38.164108618654062</v>
      </c>
      <c r="EE104" s="78">
        <f t="shared" si="35"/>
        <v>101.14332564002775</v>
      </c>
      <c r="EF104" s="79">
        <f t="shared" si="36"/>
        <v>87.944054616668026</v>
      </c>
      <c r="EG104" s="66"/>
      <c r="EH104" s="66"/>
      <c r="EI104" s="66"/>
      <c r="EJ104" s="79"/>
      <c r="EK104" s="79"/>
      <c r="EL104" s="66"/>
      <c r="EM104" s="66"/>
      <c r="EN104" s="66"/>
      <c r="EO104" s="66"/>
      <c r="EP104" s="79"/>
    </row>
    <row r="105" spans="1:146" s="116" customFormat="1" x14ac:dyDescent="0.3">
      <c r="A105" s="105">
        <v>44715</v>
      </c>
      <c r="B105" s="106">
        <f t="shared" si="29"/>
        <v>16</v>
      </c>
      <c r="C105" s="107">
        <v>267.5590400611913</v>
      </c>
      <c r="D105" s="108">
        <v>20.246225319396046</v>
      </c>
      <c r="E105" s="108">
        <v>23.359311387693381</v>
      </c>
      <c r="F105" s="109">
        <f t="shared" si="23"/>
        <v>247.31281474179525</v>
      </c>
      <c r="G105" s="109"/>
      <c r="H105" s="109"/>
      <c r="I105" s="109"/>
      <c r="J105" s="109">
        <v>7.1199999999999999E-2</v>
      </c>
      <c r="K105" s="70">
        <f t="shared" si="37"/>
        <v>1.6084080000000001E-2</v>
      </c>
      <c r="L105" s="109">
        <v>8.8484999999999996</v>
      </c>
      <c r="M105" s="109"/>
      <c r="N105" s="109"/>
      <c r="O105" s="71"/>
      <c r="P105" s="109"/>
      <c r="Q105" s="109"/>
      <c r="R105" s="109"/>
      <c r="S105" s="109"/>
      <c r="T105" s="109"/>
      <c r="U105" s="110"/>
      <c r="V105" s="110"/>
      <c r="W105" s="109">
        <f t="shared" si="30"/>
        <v>878.46928049492294</v>
      </c>
      <c r="X105" s="109"/>
      <c r="Y105" s="109"/>
      <c r="Z105" s="109"/>
      <c r="AA105" s="109"/>
      <c r="AB105" s="109"/>
      <c r="AC105" s="168"/>
      <c r="AD105" s="109">
        <v>4.68</v>
      </c>
      <c r="AE105" s="111">
        <v>124.42872167511233</v>
      </c>
      <c r="AF105" s="111">
        <v>119.95354239256677</v>
      </c>
      <c r="AG105" s="111">
        <v>13.919972083284867</v>
      </c>
      <c r="AH105" s="107">
        <f t="shared" si="39"/>
        <v>4.4751792825455539</v>
      </c>
      <c r="AI105" s="109"/>
      <c r="AJ105" s="109"/>
      <c r="AK105" s="109">
        <v>5.5899999999999998E-2</v>
      </c>
      <c r="AL105" s="109">
        <v>10.716900000000001</v>
      </c>
      <c r="AM105" s="109"/>
      <c r="AN105" s="109"/>
      <c r="AO105" s="109"/>
      <c r="AP105" s="109"/>
      <c r="AQ105" s="109"/>
      <c r="AR105" s="109"/>
      <c r="AS105" s="109"/>
      <c r="AT105" s="113"/>
      <c r="AU105" s="113"/>
      <c r="AV105" s="113">
        <f t="shared" si="38"/>
        <v>173.22250208263023</v>
      </c>
      <c r="AW105" s="113"/>
      <c r="AX105" s="109"/>
      <c r="AY105" s="109"/>
      <c r="AZ105" s="109"/>
      <c r="BA105" s="109"/>
      <c r="BB105" s="168"/>
      <c r="BC105" s="109">
        <v>6.73</v>
      </c>
      <c r="BD105" s="108">
        <v>130.33750836600058</v>
      </c>
      <c r="BE105" s="108">
        <v>119.30313588850174</v>
      </c>
      <c r="BF105" s="108">
        <v>13.790857275793879</v>
      </c>
      <c r="BG105" s="114">
        <f t="shared" si="25"/>
        <v>11.034372477498835</v>
      </c>
      <c r="BH105" s="109"/>
      <c r="BI105" s="109"/>
      <c r="BJ105" s="109"/>
      <c r="BK105" s="109">
        <v>7.7100000000000002E-2</v>
      </c>
      <c r="BL105" s="70">
        <f t="shared" si="28"/>
        <v>1.7416890000000001E-2</v>
      </c>
      <c r="BM105" s="109">
        <v>10.161099999999999</v>
      </c>
      <c r="BN105" s="109"/>
      <c r="BO105" s="109"/>
      <c r="BP105" s="71"/>
      <c r="BQ105" s="109"/>
      <c r="BR105" s="109"/>
      <c r="BS105" s="109"/>
      <c r="BT105" s="109"/>
      <c r="BU105" s="109"/>
      <c r="BV105" s="109"/>
      <c r="BW105" s="109"/>
      <c r="BX105" s="109">
        <f t="shared" si="31"/>
        <v>185.52343717112748</v>
      </c>
      <c r="BY105" s="109"/>
      <c r="BZ105" s="109"/>
      <c r="CA105" s="109"/>
      <c r="CB105" s="109"/>
      <c r="CC105" s="168"/>
      <c r="CD105" s="109">
        <v>6.76</v>
      </c>
      <c r="CE105" s="109"/>
      <c r="CF105" s="109"/>
      <c r="CG105" s="109"/>
      <c r="CH105" s="109"/>
      <c r="CI105" s="115"/>
      <c r="CJ105" s="115"/>
      <c r="CK105" s="113"/>
      <c r="CL105" s="109"/>
      <c r="CM105" s="115"/>
      <c r="CN105" s="115"/>
      <c r="CO105" s="115"/>
      <c r="CP105" s="115"/>
      <c r="CQ105" s="115"/>
      <c r="CR105" s="115"/>
      <c r="CS105" s="115"/>
      <c r="CT105" s="115"/>
      <c r="CU105" s="115"/>
      <c r="CV105" s="115"/>
      <c r="CW105" s="115"/>
      <c r="CX105" s="115"/>
      <c r="CY105" s="115"/>
      <c r="CZ105" s="115"/>
      <c r="DA105" s="168"/>
      <c r="DB105" s="115"/>
      <c r="DC105" s="109"/>
      <c r="DD105" s="109"/>
      <c r="DE105" s="109"/>
      <c r="DF105" s="109"/>
      <c r="DG105" s="109"/>
      <c r="DH105" s="109"/>
      <c r="DI105" s="109"/>
      <c r="DJ105" s="113"/>
      <c r="DK105" s="177"/>
      <c r="DL105" s="109"/>
      <c r="DM105" s="109"/>
      <c r="DN105" s="109"/>
      <c r="DO105" s="71"/>
      <c r="DP105" s="113"/>
      <c r="DQ105" s="113"/>
      <c r="DR105" s="109"/>
      <c r="DS105" s="113"/>
      <c r="DT105" s="115"/>
      <c r="DU105" s="109"/>
      <c r="DV105" s="109"/>
      <c r="DW105" s="110"/>
      <c r="DX105" s="109"/>
      <c r="DY105" s="113"/>
      <c r="DZ105" s="168"/>
      <c r="EA105" s="109"/>
      <c r="EB105" s="109">
        <f t="shared" si="32"/>
        <v>51.286449399656945</v>
      </c>
      <c r="EC105" s="109">
        <f t="shared" si="33"/>
        <v>-489.26112895823792</v>
      </c>
      <c r="ED105" s="109">
        <f t="shared" si="34"/>
        <v>40.962055572154178</v>
      </c>
      <c r="EE105" s="109">
        <f t="shared" si="35"/>
        <v>95.538293278890876</v>
      </c>
      <c r="EF105" s="109">
        <f t="shared" si="36"/>
        <v>78.881055798945525</v>
      </c>
      <c r="EG105" s="115"/>
      <c r="EH105" s="115"/>
      <c r="EI105" s="115"/>
      <c r="EJ105" s="109"/>
      <c r="EK105" s="109"/>
      <c r="EL105" s="115"/>
      <c r="EM105" s="115"/>
      <c r="EN105" s="115"/>
      <c r="EO105" s="115"/>
      <c r="EP105" s="109"/>
    </row>
    <row r="106" spans="1:146" x14ac:dyDescent="0.3">
      <c r="A106" s="86">
        <v>44718</v>
      </c>
      <c r="B106" s="106">
        <f t="shared" si="29"/>
        <v>19</v>
      </c>
      <c r="C106" s="96">
        <v>130.8929889298893</v>
      </c>
      <c r="D106" s="96">
        <v>64.255069745633563</v>
      </c>
      <c r="E106" s="96">
        <v>26.167333390075747</v>
      </c>
      <c r="F106" s="69">
        <f t="shared" si="23"/>
        <v>66.637919184255736</v>
      </c>
      <c r="M106" s="70">
        <v>61.579500000000003</v>
      </c>
      <c r="N106" s="72"/>
      <c r="P106" s="72"/>
      <c r="Q106" s="72"/>
      <c r="R106" s="72"/>
      <c r="S106" s="72"/>
      <c r="T106" s="72"/>
      <c r="U106" s="73"/>
      <c r="V106" s="73"/>
      <c r="W106" s="72">
        <f t="shared" ref="W106:W153" si="40">3.5492*F106 + 14.154</f>
        <v>250.66530276876045</v>
      </c>
      <c r="X106" s="72"/>
      <c r="Y106" s="72"/>
      <c r="Z106" s="72"/>
      <c r="AA106" s="72"/>
      <c r="AB106" s="72"/>
      <c r="AD106" s="74">
        <v>7.22</v>
      </c>
      <c r="AE106" s="95">
        <v>87.67527675276753</v>
      </c>
      <c r="AF106" s="95">
        <v>103.6408392919939</v>
      </c>
      <c r="AG106" s="95">
        <v>16.194739977870455</v>
      </c>
      <c r="AH106" s="96">
        <f t="shared" si="39"/>
        <v>-15.965562539226369</v>
      </c>
      <c r="AM106" s="70">
        <v>13.901899999999999</v>
      </c>
      <c r="AS106" s="72"/>
      <c r="AT106" s="75"/>
      <c r="AU106" s="75"/>
      <c r="AV106" s="75"/>
      <c r="AW106" s="75"/>
      <c r="AX106" s="72"/>
      <c r="AY106" s="72"/>
      <c r="AZ106" s="72"/>
      <c r="BA106" s="72"/>
      <c r="BC106" s="74">
        <v>6.93</v>
      </c>
      <c r="BD106" s="93">
        <v>81.298892988929893</v>
      </c>
      <c r="BE106" s="93">
        <v>101.53088735201032</v>
      </c>
      <c r="BF106" s="93">
        <v>16.66865265128947</v>
      </c>
      <c r="BG106" s="88">
        <f t="shared" si="25"/>
        <v>-20.231994363080432</v>
      </c>
      <c r="BN106" s="70">
        <v>3.5333999999999999</v>
      </c>
      <c r="BU106" s="72"/>
      <c r="BV106" s="72"/>
      <c r="BW106" s="72"/>
      <c r="BX106" s="72">
        <f t="shared" si="31"/>
        <v>84.611238193157902</v>
      </c>
      <c r="BY106" s="72"/>
      <c r="BZ106" s="72"/>
      <c r="CA106" s="72"/>
      <c r="CB106" s="72"/>
      <c r="CD106" s="74">
        <v>6.99</v>
      </c>
      <c r="CE106" s="69"/>
      <c r="CF106" s="69"/>
      <c r="CG106" s="69"/>
      <c r="CH106" s="69"/>
      <c r="CI106" s="76"/>
      <c r="CJ106" s="76"/>
      <c r="CK106" s="177"/>
      <c r="CL106" s="70"/>
      <c r="CM106" s="76"/>
      <c r="CN106" s="77"/>
      <c r="CO106" s="77"/>
      <c r="CP106" s="77"/>
      <c r="CQ106" s="77"/>
      <c r="CR106" s="77"/>
      <c r="CS106" s="66"/>
      <c r="CT106" s="66"/>
      <c r="CU106" s="66"/>
      <c r="CV106" s="66"/>
      <c r="CW106" s="66"/>
      <c r="CX106" s="66"/>
      <c r="CY106" s="66"/>
      <c r="CZ106" s="66"/>
      <c r="DA106" s="168"/>
      <c r="DB106" s="67"/>
      <c r="DC106" s="69"/>
      <c r="DD106" s="69"/>
      <c r="DE106" s="69"/>
      <c r="DF106" s="69"/>
      <c r="DG106" s="70"/>
      <c r="DH106" s="70"/>
      <c r="DI106" s="70"/>
      <c r="DJ106" s="177"/>
      <c r="DK106" s="177"/>
      <c r="DL106" s="70"/>
      <c r="DM106" s="70"/>
      <c r="DN106" s="71"/>
      <c r="DO106" s="71"/>
      <c r="DP106" s="180"/>
      <c r="DQ106" s="180"/>
      <c r="DR106" s="71"/>
      <c r="DS106" s="180"/>
      <c r="DT106" s="66"/>
      <c r="DU106" s="79"/>
      <c r="DV106" s="79"/>
      <c r="DW106" s="119"/>
      <c r="DX106" s="79"/>
      <c r="DY106" s="136"/>
      <c r="DZ106" s="168"/>
      <c r="EA106" s="74"/>
      <c r="EB106" s="72">
        <f t="shared" si="32"/>
        <v>37.889039242219212</v>
      </c>
      <c r="EC106" s="72">
        <f t="shared" si="33"/>
        <v>-58.012259194395831</v>
      </c>
      <c r="ED106" s="72">
        <f t="shared" si="34"/>
        <v>36.299765807962523</v>
      </c>
      <c r="EE106" s="72">
        <f t="shared" si="35"/>
        <v>130.36108361537879</v>
      </c>
      <c r="EF106" s="79">
        <f t="shared" si="36"/>
        <v>66.245333016348084</v>
      </c>
      <c r="EG106" s="66"/>
      <c r="EH106" s="66"/>
      <c r="EI106" s="66"/>
      <c r="EJ106" s="72"/>
      <c r="EK106" s="72"/>
      <c r="EL106" s="66"/>
      <c r="EM106" s="66"/>
      <c r="EN106" s="66"/>
      <c r="EO106" s="66"/>
      <c r="EP106" s="72"/>
    </row>
    <row r="107" spans="1:146" x14ac:dyDescent="0.3">
      <c r="A107" s="86">
        <v>44720</v>
      </c>
      <c r="B107" s="106">
        <f t="shared" si="29"/>
        <v>21</v>
      </c>
      <c r="C107" s="96">
        <v>121.0450184501845</v>
      </c>
      <c r="D107" s="93">
        <v>53.508381197983823</v>
      </c>
      <c r="E107" s="93">
        <v>13.234828496042217</v>
      </c>
      <c r="F107" s="69">
        <f t="shared" si="23"/>
        <v>67.536637252200677</v>
      </c>
      <c r="J107" s="70">
        <v>1.8700000000000001E-2</v>
      </c>
      <c r="K107" s="70">
        <f t="shared" si="37"/>
        <v>4.2243300000000001E-3</v>
      </c>
      <c r="M107" s="70">
        <v>37.150500000000001</v>
      </c>
      <c r="T107" s="72"/>
      <c r="U107" s="73"/>
      <c r="V107" s="73"/>
      <c r="W107" s="72">
        <f t="shared" si="40"/>
        <v>253.85503293551062</v>
      </c>
      <c r="X107" s="72"/>
      <c r="Y107" s="72"/>
      <c r="Z107" s="72"/>
      <c r="AA107" s="72"/>
      <c r="AB107" s="72"/>
      <c r="AD107" s="74">
        <v>7.63</v>
      </c>
      <c r="AE107" s="97">
        <v>88.100369003690048</v>
      </c>
      <c r="AF107" s="97">
        <v>101.30582581174539</v>
      </c>
      <c r="AG107" s="97">
        <v>13.927312962805345</v>
      </c>
      <c r="AH107" s="96">
        <f t="shared" si="39"/>
        <v>-13.205456808055345</v>
      </c>
      <c r="AM107" s="70">
        <v>1.7266999999999999</v>
      </c>
      <c r="AS107" s="72"/>
      <c r="AT107" s="75"/>
      <c r="AU107" s="75"/>
      <c r="AV107" s="75"/>
      <c r="AW107" s="75"/>
      <c r="AX107" s="72"/>
      <c r="AY107" s="72"/>
      <c r="AZ107" s="72"/>
      <c r="BA107" s="72"/>
      <c r="BC107" s="74">
        <v>6.88</v>
      </c>
      <c r="BD107" s="93">
        <v>89.836162361623622</v>
      </c>
      <c r="BE107" s="93">
        <v>103.07818544133161</v>
      </c>
      <c r="BF107" s="93">
        <v>13.817005702612988</v>
      </c>
      <c r="BG107" s="88">
        <f t="shared" si="25"/>
        <v>-13.242023079707991</v>
      </c>
      <c r="BN107" s="70">
        <v>2.4262000000000001</v>
      </c>
      <c r="BU107" s="72"/>
      <c r="BV107" s="72"/>
      <c r="BW107" s="72"/>
      <c r="BX107" s="72">
        <f t="shared" si="31"/>
        <v>107.17137051024245</v>
      </c>
      <c r="BY107" s="72"/>
      <c r="BZ107" s="72"/>
      <c r="CA107" s="72"/>
      <c r="CB107" s="72"/>
      <c r="CD107" s="74">
        <v>6.82</v>
      </c>
      <c r="CE107" s="69"/>
      <c r="CF107" s="69"/>
      <c r="CG107" s="69"/>
      <c r="CH107" s="69"/>
      <c r="CI107" s="76"/>
      <c r="CJ107" s="76"/>
      <c r="CK107" s="177"/>
      <c r="CL107" s="70"/>
      <c r="CM107" s="76"/>
      <c r="CN107" s="77"/>
      <c r="CO107" s="77"/>
      <c r="CP107" s="77"/>
      <c r="CQ107" s="77"/>
      <c r="CR107" s="77"/>
      <c r="CS107" s="66"/>
      <c r="CT107" s="66"/>
      <c r="CU107" s="66"/>
      <c r="CV107" s="66"/>
      <c r="CW107" s="66"/>
      <c r="CX107" s="66"/>
      <c r="CY107" s="66"/>
      <c r="CZ107" s="66"/>
      <c r="DA107" s="168"/>
      <c r="DB107" s="67"/>
      <c r="DC107" s="69"/>
      <c r="DD107" s="69"/>
      <c r="DE107" s="69"/>
      <c r="DF107" s="69"/>
      <c r="DG107" s="70"/>
      <c r="DH107" s="70"/>
      <c r="DI107" s="70"/>
      <c r="DJ107" s="177"/>
      <c r="DK107" s="177"/>
      <c r="DL107" s="70"/>
      <c r="DM107" s="70"/>
      <c r="DN107" s="71"/>
      <c r="DO107" s="71"/>
      <c r="DP107" s="180"/>
      <c r="DQ107" s="180"/>
      <c r="DR107" s="71"/>
      <c r="DS107" s="180"/>
      <c r="DT107" s="66"/>
      <c r="DU107" s="79"/>
      <c r="DV107" s="79"/>
      <c r="DW107" s="119"/>
      <c r="DX107" s="79"/>
      <c r="DY107" s="136"/>
      <c r="DZ107" s="168"/>
      <c r="EA107" s="74"/>
      <c r="EB107" s="78">
        <f t="shared" si="32"/>
        <v>25.782850453614277</v>
      </c>
      <c r="EC107" s="78">
        <f t="shared" si="33"/>
        <v>-92.639327024185064</v>
      </c>
      <c r="ED107" s="78">
        <f t="shared" si="34"/>
        <v>-4.3988269794721324</v>
      </c>
      <c r="EE107" s="78">
        <f t="shared" si="35"/>
        <v>119.60716970591618</v>
      </c>
      <c r="EF107" s="79">
        <f t="shared" si="36"/>
        <v>57.782451948680368</v>
      </c>
      <c r="EG107" s="66"/>
      <c r="EH107" s="66"/>
      <c r="EI107" s="66"/>
      <c r="EJ107" s="79"/>
      <c r="EK107" s="79"/>
      <c r="EL107" s="66"/>
      <c r="EM107" s="66"/>
      <c r="EN107" s="66"/>
      <c r="EO107" s="66"/>
      <c r="EP107" s="79"/>
    </row>
    <row r="108" spans="1:146" x14ac:dyDescent="0.3">
      <c r="A108" s="86">
        <v>44722</v>
      </c>
      <c r="B108" s="106">
        <f t="shared" si="29"/>
        <v>23</v>
      </c>
      <c r="C108" s="96">
        <v>120.87253301676805</v>
      </c>
      <c r="D108" s="93">
        <v>67.870669745958438</v>
      </c>
      <c r="E108" s="93">
        <v>18.738906088751289</v>
      </c>
      <c r="F108" s="69">
        <f t="shared" si="23"/>
        <v>53.001863270809608</v>
      </c>
      <c r="J108" s="70">
        <v>0.3175</v>
      </c>
      <c r="K108" s="70">
        <f t="shared" si="37"/>
        <v>7.1723250000000002E-2</v>
      </c>
      <c r="M108" s="70">
        <v>42.204000000000001</v>
      </c>
      <c r="T108" s="72"/>
      <c r="U108" s="73">
        <f>48*5</f>
        <v>240</v>
      </c>
      <c r="V108" s="73"/>
      <c r="W108" s="72">
        <f t="shared" si="40"/>
        <v>202.26821312075745</v>
      </c>
      <c r="X108" s="72"/>
      <c r="Y108" s="72"/>
      <c r="Z108" s="72"/>
      <c r="AA108" s="72"/>
      <c r="AB108" s="72"/>
      <c r="AD108" s="74">
        <v>7.52</v>
      </c>
      <c r="AE108" s="96">
        <v>86.505416233862604</v>
      </c>
      <c r="AF108" s="96">
        <v>100.51732101616629</v>
      </c>
      <c r="AG108" s="96">
        <v>14.482972136222912</v>
      </c>
      <c r="AH108" s="96">
        <f t="shared" si="39"/>
        <v>-14.011904782303688</v>
      </c>
      <c r="AM108" s="70">
        <v>0.59989999999999999</v>
      </c>
      <c r="AS108" s="72"/>
      <c r="AT108" s="75"/>
      <c r="AU108" s="75"/>
      <c r="AV108" s="75"/>
      <c r="AW108" s="75"/>
      <c r="AX108" s="72"/>
      <c r="AY108" s="72"/>
      <c r="AZ108" s="72"/>
      <c r="BA108" s="72"/>
      <c r="BC108" s="74">
        <v>6.87</v>
      </c>
      <c r="BD108" s="93">
        <v>82.267398723846284</v>
      </c>
      <c r="BE108" s="93">
        <v>97.330254041570441</v>
      </c>
      <c r="BF108" s="93">
        <v>15.027863777089783</v>
      </c>
      <c r="BG108" s="88">
        <f t="shared" si="25"/>
        <v>-15.062855317724157</v>
      </c>
      <c r="BN108" s="70">
        <v>0.51680000000000004</v>
      </c>
      <c r="BU108" s="72"/>
      <c r="BV108" s="72">
        <f>36*2</f>
        <v>72</v>
      </c>
      <c r="BW108" s="72"/>
      <c r="BX108" s="72">
        <f t="shared" si="31"/>
        <v>101.29463446204528</v>
      </c>
      <c r="BY108" s="72"/>
      <c r="BZ108" s="72"/>
      <c r="CA108" s="72"/>
      <c r="CB108" s="72"/>
      <c r="CD108" s="74">
        <v>6.93</v>
      </c>
      <c r="CE108" s="69"/>
      <c r="CF108" s="69"/>
      <c r="CG108" s="69"/>
      <c r="CH108" s="69"/>
      <c r="CI108" s="76"/>
      <c r="CJ108" s="76"/>
      <c r="CK108" s="177"/>
      <c r="CL108" s="70"/>
      <c r="CM108" s="76"/>
      <c r="CN108" s="77"/>
      <c r="CO108" s="77"/>
      <c r="CP108" s="77"/>
      <c r="CQ108" s="77"/>
      <c r="CR108" s="77"/>
      <c r="CS108" s="66"/>
      <c r="CT108" s="66"/>
      <c r="CU108" s="66"/>
      <c r="CV108" s="66"/>
      <c r="CW108" s="66"/>
      <c r="CX108" s="66"/>
      <c r="CY108" s="66"/>
      <c r="CZ108" s="66"/>
      <c r="DA108" s="168"/>
      <c r="DB108" s="67"/>
      <c r="DC108" s="69"/>
      <c r="DD108" s="69"/>
      <c r="DE108" s="69"/>
      <c r="DF108" s="69"/>
      <c r="DG108" s="70"/>
      <c r="DH108" s="70"/>
      <c r="DI108" s="70"/>
      <c r="DJ108" s="177"/>
      <c r="DK108" s="177"/>
      <c r="DL108" s="70"/>
      <c r="DM108" s="70"/>
      <c r="DN108" s="71"/>
      <c r="DO108" s="71"/>
      <c r="DP108" s="180"/>
      <c r="DQ108" s="180"/>
      <c r="DR108" s="71"/>
      <c r="DS108" s="180"/>
      <c r="DT108" s="66"/>
      <c r="DU108" s="79"/>
      <c r="DV108" s="79"/>
      <c r="DW108" s="119"/>
      <c r="DX108" s="79"/>
      <c r="DY108" s="136"/>
      <c r="DZ108" s="168"/>
      <c r="EA108" s="74"/>
      <c r="EB108" s="78">
        <f t="shared" si="32"/>
        <v>31.938715380082471</v>
      </c>
      <c r="EC108" s="78">
        <f t="shared" si="33"/>
        <v>-43.405471621069815</v>
      </c>
      <c r="ED108" s="78">
        <f t="shared" si="34"/>
        <v>19.803943165546865</v>
      </c>
      <c r="EE108" s="78">
        <f t="shared" si="35"/>
        <v>128.41948261471765</v>
      </c>
      <c r="EF108" s="79">
        <f t="shared" si="36"/>
        <v>49.920636120134844</v>
      </c>
      <c r="EG108" s="66"/>
      <c r="EH108" s="66"/>
      <c r="EI108" s="66"/>
      <c r="EJ108" s="79"/>
      <c r="EK108" s="79"/>
      <c r="EL108" s="66"/>
      <c r="EM108" s="66"/>
      <c r="EN108" s="66"/>
      <c r="EO108" s="66"/>
      <c r="EP108" s="79"/>
    </row>
    <row r="109" spans="1:146" x14ac:dyDescent="0.3">
      <c r="A109" s="86">
        <v>44725</v>
      </c>
      <c r="B109" s="106">
        <f t="shared" si="29"/>
        <v>26</v>
      </c>
      <c r="C109" s="96">
        <v>143.09541474996288</v>
      </c>
      <c r="D109" s="93">
        <v>47.778290993071593</v>
      </c>
      <c r="E109" s="93">
        <v>18.982456140350877</v>
      </c>
      <c r="F109" s="96">
        <f t="shared" si="23"/>
        <v>95.317123756891291</v>
      </c>
      <c r="G109" s="70">
        <v>47.546999999999997</v>
      </c>
      <c r="J109" s="70">
        <v>0.46360000000000001</v>
      </c>
      <c r="K109" s="70">
        <f t="shared" si="37"/>
        <v>0.10472724</v>
      </c>
      <c r="L109" s="70">
        <v>9.5070000000000002E-2</v>
      </c>
      <c r="M109" s="70">
        <v>42.279800000000002</v>
      </c>
      <c r="N109" s="71">
        <v>49.888979999999997</v>
      </c>
      <c r="O109" s="71">
        <f t="shared" si="27"/>
        <v>38.737890764524089</v>
      </c>
      <c r="T109" s="72"/>
      <c r="U109" s="73">
        <f>67*5</f>
        <v>335</v>
      </c>
      <c r="V109" s="73"/>
      <c r="W109" s="72">
        <f t="shared" si="40"/>
        <v>352.45353563795857</v>
      </c>
      <c r="X109" s="72"/>
      <c r="Y109" s="72"/>
      <c r="Z109" s="72"/>
      <c r="AA109" s="72"/>
      <c r="AB109" s="72"/>
      <c r="AD109" s="74">
        <v>6.88</v>
      </c>
      <c r="AE109" s="96">
        <v>108.33654844932482</v>
      </c>
      <c r="AF109" s="96">
        <v>148.54503464203236</v>
      </c>
      <c r="AG109" s="96">
        <v>18.953560371517028</v>
      </c>
      <c r="AH109" s="96">
        <f t="shared" si="39"/>
        <v>-40.208486192707539</v>
      </c>
      <c r="AK109" s="70">
        <v>0.36149999999999999</v>
      </c>
      <c r="AL109" s="70">
        <v>20.47409</v>
      </c>
      <c r="AM109" s="70">
        <v>2.3260999999999998</v>
      </c>
      <c r="AN109" s="71">
        <v>101.2064</v>
      </c>
      <c r="AS109" s="72"/>
      <c r="AT109" s="75"/>
      <c r="AU109" s="75"/>
      <c r="AV109" s="75"/>
      <c r="AW109" s="75"/>
      <c r="AX109" s="72"/>
      <c r="AY109" s="72"/>
      <c r="AZ109" s="72"/>
      <c r="BA109" s="72"/>
      <c r="BC109" s="74">
        <v>6.98</v>
      </c>
      <c r="BD109" s="93">
        <v>110.75827274076273</v>
      </c>
      <c r="BE109" s="93">
        <v>131.72286374133949</v>
      </c>
      <c r="BF109" s="93">
        <v>19.958720330237355</v>
      </c>
      <c r="BG109" s="88">
        <f t="shared" si="25"/>
        <v>-20.96459100057676</v>
      </c>
      <c r="BK109" s="70">
        <v>0.58279999999999998</v>
      </c>
      <c r="BL109" s="70">
        <f t="shared" si="28"/>
        <v>0.13165452</v>
      </c>
      <c r="BM109" s="70">
        <v>27.514769999999999</v>
      </c>
      <c r="BN109" s="70">
        <v>4.0290999999999997</v>
      </c>
      <c r="BO109" s="71">
        <v>98.54477</v>
      </c>
      <c r="BP109" s="71">
        <f t="shared" ref="BP109:BP153" si="41">BO109/1.28786</f>
        <v>76.518231795381482</v>
      </c>
      <c r="BU109" s="72"/>
      <c r="BV109" s="72">
        <f>42*2</f>
        <v>84</v>
      </c>
      <c r="BW109" s="72"/>
      <c r="BX109" s="72">
        <f t="shared" si="31"/>
        <v>82.246782545638496</v>
      </c>
      <c r="BY109" s="72"/>
      <c r="BZ109" s="72"/>
      <c r="CA109" s="72"/>
      <c r="CB109" s="72"/>
      <c r="CD109" s="74">
        <v>6.81</v>
      </c>
      <c r="CE109" s="69"/>
      <c r="CF109" s="69"/>
      <c r="CG109" s="69"/>
      <c r="CH109" s="69"/>
      <c r="CI109" s="76"/>
      <c r="CJ109" s="76"/>
      <c r="CK109" s="177"/>
      <c r="CL109" s="70"/>
      <c r="CM109" s="76"/>
      <c r="CN109" s="77"/>
      <c r="CO109" s="77"/>
      <c r="CP109" s="77"/>
      <c r="CQ109" s="77"/>
      <c r="CR109" s="77"/>
      <c r="CS109" s="66"/>
      <c r="CT109" s="66"/>
      <c r="CU109" s="66"/>
      <c r="CV109" s="66"/>
      <c r="CW109" s="66"/>
      <c r="CX109" s="66"/>
      <c r="CY109" s="66"/>
      <c r="CZ109" s="66"/>
      <c r="DA109" s="168"/>
      <c r="DB109" s="67"/>
      <c r="DC109" s="69"/>
      <c r="DD109" s="69"/>
      <c r="DE109" s="69"/>
      <c r="DF109" s="69"/>
      <c r="DG109" s="70"/>
      <c r="DH109" s="70"/>
      <c r="DI109" s="70"/>
      <c r="DJ109" s="177"/>
      <c r="DK109" s="177"/>
      <c r="DL109" s="70"/>
      <c r="DM109" s="70"/>
      <c r="DN109" s="71"/>
      <c r="DO109" s="71"/>
      <c r="DP109" s="180"/>
      <c r="DQ109" s="180"/>
      <c r="DR109" s="71"/>
      <c r="DS109" s="180"/>
      <c r="DT109" s="66"/>
      <c r="DU109" s="79"/>
      <c r="DV109" s="79"/>
      <c r="DW109" s="119"/>
      <c r="DX109" s="79"/>
      <c r="DY109" s="136"/>
      <c r="DZ109" s="168"/>
      <c r="EA109" s="74"/>
      <c r="EB109" s="78">
        <f t="shared" si="32"/>
        <v>22.598307615729201</v>
      </c>
      <c r="EC109" s="78">
        <f t="shared" si="33"/>
        <v>-175.69605568445476</v>
      </c>
      <c r="ED109" s="78">
        <f t="shared" si="34"/>
        <v>-5.1429814069805246</v>
      </c>
      <c r="EE109" s="78">
        <f t="shared" si="35"/>
        <v>121.99456946901532</v>
      </c>
      <c r="EF109" s="79">
        <f t="shared" si="36"/>
        <v>76.664503479368506</v>
      </c>
      <c r="EG109" s="66"/>
      <c r="EH109" s="66"/>
      <c r="EI109" s="66"/>
      <c r="EJ109" s="79"/>
      <c r="EK109" s="79"/>
      <c r="EL109" s="66"/>
      <c r="EM109" s="66"/>
      <c r="EN109" s="66"/>
      <c r="EO109" s="66"/>
      <c r="EP109" s="79"/>
    </row>
    <row r="110" spans="1:146" x14ac:dyDescent="0.3">
      <c r="A110" s="86">
        <v>44727</v>
      </c>
      <c r="B110" s="106">
        <f t="shared" si="29"/>
        <v>28</v>
      </c>
      <c r="C110" s="96">
        <v>92.437902483900643</v>
      </c>
      <c r="D110" s="93">
        <v>49.60624334870522</v>
      </c>
      <c r="E110" s="93">
        <v>18.892319277108435</v>
      </c>
      <c r="F110" s="96">
        <f t="shared" si="23"/>
        <v>42.831659135195423</v>
      </c>
      <c r="J110" s="70">
        <v>0.56069999999999998</v>
      </c>
      <c r="K110" s="70">
        <f t="shared" si="37"/>
        <v>0.12666212999999998</v>
      </c>
      <c r="L110" s="70">
        <v>5.5459500000000004</v>
      </c>
      <c r="M110" s="70">
        <v>109.8323</v>
      </c>
      <c r="N110" s="71">
        <v>77.496070000000003</v>
      </c>
      <c r="O110" s="71">
        <f t="shared" si="27"/>
        <v>60.174296895625304</v>
      </c>
      <c r="T110" s="72"/>
      <c r="U110" s="73"/>
      <c r="V110" s="73"/>
      <c r="W110" s="72">
        <f t="shared" si="40"/>
        <v>166.17212460263559</v>
      </c>
      <c r="X110" s="72"/>
      <c r="Y110" s="72"/>
      <c r="Z110" s="72"/>
      <c r="AA110" s="72"/>
      <c r="AB110" s="72"/>
      <c r="AD110" s="74">
        <v>7.44</v>
      </c>
      <c r="AE110" s="96">
        <v>82.575896964121455</v>
      </c>
      <c r="AF110" s="96">
        <v>123.02234835047891</v>
      </c>
      <c r="AG110" s="96">
        <v>14.839608433734941</v>
      </c>
      <c r="AH110" s="96">
        <f t="shared" si="39"/>
        <v>-40.446451386357452</v>
      </c>
      <c r="AK110" s="70">
        <v>0.36280000000000001</v>
      </c>
      <c r="AL110" s="70">
        <v>20.2196</v>
      </c>
      <c r="AM110" s="70">
        <v>9.4606999999999992</v>
      </c>
      <c r="AN110" s="71">
        <v>81.312830000000005</v>
      </c>
      <c r="AS110" s="72"/>
      <c r="AT110" s="75"/>
      <c r="AU110" s="75"/>
      <c r="AV110" s="75"/>
      <c r="AW110" s="75"/>
      <c r="AX110" s="72"/>
      <c r="AY110" s="72"/>
      <c r="AZ110" s="72"/>
      <c r="BA110" s="72"/>
      <c r="BC110" s="74">
        <v>6.88</v>
      </c>
      <c r="BD110" s="93">
        <v>83.09107635694572</v>
      </c>
      <c r="BE110" s="93">
        <v>114.08300815892161</v>
      </c>
      <c r="BF110" s="93">
        <v>13.538403614457833</v>
      </c>
      <c r="BG110" s="88">
        <f t="shared" si="25"/>
        <v>-30.991931801975895</v>
      </c>
      <c r="BM110" s="70">
        <v>20.894580000000001</v>
      </c>
      <c r="BN110" s="70">
        <v>13.3728</v>
      </c>
      <c r="BO110" s="71">
        <v>80.380330000000001</v>
      </c>
      <c r="BP110" s="71">
        <f t="shared" si="41"/>
        <v>62.413872625906542</v>
      </c>
      <c r="BU110" s="72"/>
      <c r="BV110" s="72"/>
      <c r="BW110" s="72"/>
      <c r="BX110" s="72">
        <f t="shared" si="31"/>
        <v>49.883540109122791</v>
      </c>
      <c r="BY110" s="72"/>
      <c r="BZ110" s="72"/>
      <c r="CA110" s="72"/>
      <c r="CB110" s="72"/>
      <c r="CD110" s="74">
        <v>6.87</v>
      </c>
      <c r="CE110" s="69"/>
      <c r="CF110" s="69"/>
      <c r="CG110" s="69"/>
      <c r="CH110" s="69"/>
      <c r="CI110" s="76"/>
      <c r="CJ110" s="76"/>
      <c r="CK110" s="177"/>
      <c r="CL110" s="70"/>
      <c r="CM110" s="76"/>
      <c r="CN110" s="77"/>
      <c r="CO110" s="77"/>
      <c r="CP110" s="77"/>
      <c r="CQ110" s="77"/>
      <c r="CR110" s="77"/>
      <c r="CS110" s="66"/>
      <c r="CT110" s="66"/>
      <c r="CU110" s="66"/>
      <c r="CV110" s="66"/>
      <c r="CW110" s="66"/>
      <c r="CX110" s="66"/>
      <c r="CY110" s="66"/>
      <c r="CZ110" s="66"/>
      <c r="DA110" s="168"/>
      <c r="DB110" s="67"/>
      <c r="DC110" s="69"/>
      <c r="DD110" s="69"/>
      <c r="DE110" s="69"/>
      <c r="DF110" s="69"/>
      <c r="DG110" s="70"/>
      <c r="DH110" s="70"/>
      <c r="DI110" s="70"/>
      <c r="DJ110" s="177"/>
      <c r="DK110" s="177"/>
      <c r="DL110" s="70"/>
      <c r="DM110" s="70"/>
      <c r="DN110" s="71"/>
      <c r="DO110" s="71"/>
      <c r="DP110" s="180"/>
      <c r="DQ110" s="180"/>
      <c r="DR110" s="71"/>
      <c r="DS110" s="180"/>
      <c r="DT110" s="66"/>
      <c r="DU110" s="79"/>
      <c r="DV110" s="79"/>
      <c r="DW110" s="119"/>
      <c r="DX110" s="79"/>
      <c r="DY110" s="136"/>
      <c r="DZ110" s="168"/>
      <c r="EA110" s="74"/>
      <c r="EB110" s="78">
        <f t="shared" si="32"/>
        <v>10.111464968152868</v>
      </c>
      <c r="EC110" s="78">
        <f t="shared" si="33"/>
        <v>-129.9771167048055</v>
      </c>
      <c r="ED110" s="78">
        <f t="shared" si="34"/>
        <v>28.339112758579454</v>
      </c>
      <c r="EE110" s="78">
        <f t="shared" si="35"/>
        <v>172.35753278702518</v>
      </c>
      <c r="EF110" s="79">
        <f t="shared" si="36"/>
        <v>69.980801395896933</v>
      </c>
      <c r="EG110" s="66"/>
      <c r="EH110" s="66"/>
      <c r="EI110" s="66"/>
      <c r="EJ110" s="79"/>
      <c r="EK110" s="79"/>
      <c r="EL110" s="66"/>
      <c r="EM110" s="66"/>
      <c r="EN110" s="66"/>
      <c r="EO110" s="66"/>
      <c r="EP110" s="79"/>
    </row>
    <row r="111" spans="1:146" x14ac:dyDescent="0.3">
      <c r="A111" s="86">
        <v>44729</v>
      </c>
      <c r="B111" s="106">
        <f t="shared" si="29"/>
        <v>30</v>
      </c>
      <c r="C111" s="96">
        <v>158.49126034958604</v>
      </c>
      <c r="D111" s="93">
        <v>64.760553387726162</v>
      </c>
      <c r="E111" s="93">
        <v>20.182228915662648</v>
      </c>
      <c r="F111" s="96">
        <f t="shared" si="23"/>
        <v>93.73070696185988</v>
      </c>
      <c r="L111" s="70">
        <v>5.0439100000000003</v>
      </c>
      <c r="M111" s="70">
        <v>85.025199999999998</v>
      </c>
      <c r="N111" s="71">
        <v>77.302599999999998</v>
      </c>
      <c r="O111" s="71">
        <f t="shared" si="27"/>
        <v>60.024070939387819</v>
      </c>
      <c r="T111" s="72"/>
      <c r="U111" s="73">
        <f>118*3</f>
        <v>354</v>
      </c>
      <c r="V111" s="73"/>
      <c r="W111" s="72">
        <f t="shared" si="40"/>
        <v>346.82302514903307</v>
      </c>
      <c r="X111" s="72"/>
      <c r="Y111" s="72"/>
      <c r="Z111" s="72"/>
      <c r="AA111" s="72"/>
      <c r="AB111" s="72"/>
      <c r="AD111" s="74">
        <v>7.53</v>
      </c>
      <c r="AE111" s="96">
        <v>93.799448022079105</v>
      </c>
      <c r="AF111" s="96">
        <v>119.81553742461867</v>
      </c>
      <c r="AG111" s="96">
        <v>15.871987951807229</v>
      </c>
      <c r="AH111" s="96">
        <f t="shared" si="39"/>
        <v>-26.016089402539563</v>
      </c>
      <c r="AL111" s="70">
        <v>20.708549999999999</v>
      </c>
      <c r="AM111" s="70">
        <v>15.377800000000001</v>
      </c>
      <c r="AN111" s="71">
        <v>85.935169999999999</v>
      </c>
      <c r="AS111" s="72"/>
      <c r="AT111" s="75"/>
      <c r="AU111" s="75"/>
      <c r="AV111" s="75"/>
      <c r="AW111" s="75"/>
      <c r="AX111" s="72"/>
      <c r="AY111" s="72"/>
      <c r="AZ111" s="72"/>
      <c r="BA111" s="72"/>
      <c r="BB111" s="168">
        <v>2207.8850000000002</v>
      </c>
      <c r="BC111" s="74">
        <v>6.91</v>
      </c>
      <c r="BD111" s="93">
        <v>94.351425942962294</v>
      </c>
      <c r="BE111" s="93">
        <v>117.11954593827599</v>
      </c>
      <c r="BF111" s="93">
        <v>15.998493975903614</v>
      </c>
      <c r="BG111" s="88">
        <f t="shared" si="25"/>
        <v>-22.768119995313697</v>
      </c>
      <c r="BM111" s="70">
        <v>18.981459999999998</v>
      </c>
      <c r="BN111" s="70">
        <v>24.831600000000002</v>
      </c>
      <c r="BO111" s="71">
        <v>84.846559999999997</v>
      </c>
      <c r="BP111" s="71">
        <f t="shared" si="41"/>
        <v>65.881819452424949</v>
      </c>
      <c r="BU111" s="72"/>
      <c r="BV111" s="72">
        <v>80</v>
      </c>
      <c r="BW111" s="72"/>
      <c r="BX111" s="72">
        <f t="shared" si="31"/>
        <v>76.425892715125045</v>
      </c>
      <c r="BY111" s="72"/>
      <c r="BZ111" s="72"/>
      <c r="CA111" s="72"/>
      <c r="CB111" s="72"/>
      <c r="CD111" s="74">
        <v>6.9</v>
      </c>
      <c r="CE111" s="69"/>
      <c r="CF111" s="69"/>
      <c r="CG111" s="69"/>
      <c r="CH111" s="69"/>
      <c r="CI111" s="76"/>
      <c r="CJ111" s="76"/>
      <c r="CK111" s="177"/>
      <c r="CL111" s="70"/>
      <c r="CM111" s="76"/>
      <c r="CN111" s="77"/>
      <c r="CO111" s="77"/>
      <c r="CP111" s="77"/>
      <c r="CQ111" s="77"/>
      <c r="CR111" s="77"/>
      <c r="CS111" s="66"/>
      <c r="CT111" s="66"/>
      <c r="CU111" s="66"/>
      <c r="CV111" s="66"/>
      <c r="CW111" s="66"/>
      <c r="CX111" s="66"/>
      <c r="CY111" s="66"/>
      <c r="CZ111" s="66"/>
      <c r="DA111" s="168"/>
      <c r="DB111" s="67"/>
      <c r="DC111" s="69"/>
      <c r="DD111" s="69"/>
      <c r="DE111" s="69"/>
      <c r="DF111" s="69"/>
      <c r="DG111" s="70"/>
      <c r="DH111" s="70"/>
      <c r="DI111" s="70"/>
      <c r="DJ111" s="177"/>
      <c r="DK111" s="177"/>
      <c r="DL111" s="70"/>
      <c r="DM111" s="70"/>
      <c r="DN111" s="71"/>
      <c r="DO111" s="71"/>
      <c r="DP111" s="180"/>
      <c r="DQ111" s="180"/>
      <c r="DR111" s="71"/>
      <c r="DS111" s="180"/>
      <c r="DT111" s="66"/>
      <c r="DU111" s="79"/>
      <c r="DV111" s="79"/>
      <c r="DW111" s="119"/>
      <c r="DX111" s="79"/>
      <c r="DY111" s="136"/>
      <c r="DZ111" s="168"/>
      <c r="EA111" s="74"/>
      <c r="EB111" s="78">
        <f t="shared" si="32"/>
        <v>40.469003947062923</v>
      </c>
      <c r="EC111" s="78">
        <f t="shared" si="33"/>
        <v>-80.850131463628358</v>
      </c>
      <c r="ED111" s="78">
        <f t="shared" si="34"/>
        <v>20.729796283859407</v>
      </c>
      <c r="EE111" s="78">
        <f t="shared" si="35"/>
        <v>124.29099356369765</v>
      </c>
      <c r="EF111" s="79">
        <f t="shared" si="36"/>
        <v>77.964008392382794</v>
      </c>
      <c r="EG111" s="66"/>
      <c r="EH111" s="66"/>
      <c r="EI111" s="66"/>
      <c r="EJ111" s="79"/>
      <c r="EK111" s="79"/>
      <c r="EL111" s="66"/>
      <c r="EM111" s="66"/>
      <c r="EN111" s="66"/>
      <c r="EO111" s="66"/>
      <c r="EP111" s="79"/>
    </row>
    <row r="112" spans="1:146" x14ac:dyDescent="0.3">
      <c r="A112" s="86">
        <v>44732</v>
      </c>
      <c r="B112" s="106">
        <f t="shared" si="29"/>
        <v>33</v>
      </c>
      <c r="C112" s="96">
        <v>78.438305709023936</v>
      </c>
      <c r="D112" s="93">
        <v>56.405797101449274</v>
      </c>
      <c r="E112" s="93"/>
      <c r="F112" s="96">
        <f t="shared" si="23"/>
        <v>22.032508607574663</v>
      </c>
      <c r="L112" s="70">
        <v>4.83575</v>
      </c>
      <c r="M112" s="70">
        <v>52.746000000000002</v>
      </c>
      <c r="N112" s="71">
        <v>60.035020000000003</v>
      </c>
      <c r="O112" s="71">
        <f t="shared" si="27"/>
        <v>46.616107340860033</v>
      </c>
      <c r="T112" s="72"/>
      <c r="U112" s="73">
        <f>68*3</f>
        <v>204</v>
      </c>
      <c r="V112" s="73"/>
      <c r="W112" s="72">
        <f t="shared" si="40"/>
        <v>92.351779550003982</v>
      </c>
      <c r="X112" s="72"/>
      <c r="Y112" s="72"/>
      <c r="Z112" s="72"/>
      <c r="AA112" s="72"/>
      <c r="AB112" s="72"/>
      <c r="AD112" s="74">
        <v>7.41</v>
      </c>
      <c r="AE112" s="96">
        <v>79.587476979742164</v>
      </c>
      <c r="AF112" s="96">
        <v>109.59420289855073</v>
      </c>
      <c r="AG112" s="96"/>
      <c r="AH112" s="96">
        <f t="shared" si="39"/>
        <v>-30.00672591880857</v>
      </c>
      <c r="AL112" s="70">
        <v>14.338089999999999</v>
      </c>
      <c r="AM112" s="70">
        <v>8.9335000000000004</v>
      </c>
      <c r="AN112" s="71">
        <v>82.458129999999997</v>
      </c>
      <c r="AS112" s="72"/>
      <c r="AT112" s="75"/>
      <c r="AU112" s="75"/>
      <c r="AV112" s="75"/>
      <c r="AW112" s="75"/>
      <c r="AX112" s="72"/>
      <c r="AY112" s="72"/>
      <c r="AZ112" s="72"/>
      <c r="BA112" s="72"/>
      <c r="BB112" s="168">
        <v>2310.5790000000002</v>
      </c>
      <c r="BC112" s="74">
        <v>6.93</v>
      </c>
      <c r="BD112" s="93">
        <v>86.629834254143645</v>
      </c>
      <c r="BE112" s="93">
        <v>108.57971014492753</v>
      </c>
      <c r="BF112" s="93"/>
      <c r="BG112" s="88">
        <f t="shared" si="25"/>
        <v>-21.949875890783886</v>
      </c>
      <c r="BM112" s="70">
        <v>18.688939999999999</v>
      </c>
      <c r="BN112" s="70">
        <v>13.4733</v>
      </c>
      <c r="BO112" s="71">
        <v>82.806430000000006</v>
      </c>
      <c r="BP112" s="71">
        <f t="shared" si="41"/>
        <v>64.297695401674105</v>
      </c>
      <c r="BU112" s="72"/>
      <c r="BV112" s="72">
        <v>85</v>
      </c>
      <c r="BW112" s="72"/>
      <c r="BX112" s="72">
        <f t="shared" si="31"/>
        <v>79.066775562494996</v>
      </c>
      <c r="BY112" s="72"/>
      <c r="BZ112" s="72"/>
      <c r="CA112" s="72"/>
      <c r="CB112" s="72"/>
      <c r="CD112" s="74">
        <v>6.93</v>
      </c>
      <c r="CE112" s="69"/>
      <c r="CF112" s="69"/>
      <c r="CG112" s="69"/>
      <c r="CH112" s="69"/>
      <c r="CI112" s="76"/>
      <c r="CJ112" s="76"/>
      <c r="CK112" s="177"/>
      <c r="CL112" s="70"/>
      <c r="CM112" s="76"/>
      <c r="CN112" s="77"/>
      <c r="CO112" s="77"/>
      <c r="CP112" s="77"/>
      <c r="CQ112" s="77"/>
      <c r="CR112" s="77"/>
      <c r="CS112" s="66"/>
      <c r="CT112" s="66"/>
      <c r="CU112" s="66"/>
      <c r="CV112" s="66"/>
      <c r="CW112" s="66"/>
      <c r="CX112" s="66"/>
      <c r="CY112" s="66"/>
      <c r="CZ112" s="66"/>
      <c r="DA112" s="168"/>
      <c r="DB112" s="67"/>
      <c r="DC112" s="69"/>
      <c r="DD112" s="69"/>
      <c r="DE112" s="69"/>
      <c r="DF112" s="69"/>
      <c r="DG112" s="70"/>
      <c r="DH112" s="70"/>
      <c r="DI112" s="70"/>
      <c r="DJ112" s="177"/>
      <c r="DK112" s="177"/>
      <c r="DL112" s="70"/>
      <c r="DM112" s="70"/>
      <c r="DN112" s="71"/>
      <c r="DO112" s="71"/>
      <c r="DP112" s="180"/>
      <c r="DQ112" s="180"/>
      <c r="DR112" s="71"/>
      <c r="DS112" s="180"/>
      <c r="DT112" s="66"/>
      <c r="DU112" s="79"/>
      <c r="DV112" s="79"/>
      <c r="DW112" s="119"/>
      <c r="DX112" s="79"/>
      <c r="DY112" s="136"/>
      <c r="DZ112" s="168"/>
      <c r="EA112" s="74"/>
      <c r="EB112" s="78">
        <f t="shared" si="32"/>
        <v>-10.443275732531937</v>
      </c>
      <c r="EC112" s="78">
        <f t="shared" si="33"/>
        <v>-92.497430626927027</v>
      </c>
      <c r="ED112" s="78" t="e">
        <f t="shared" si="34"/>
        <v>#DIV/0!</v>
      </c>
      <c r="EE112" s="78">
        <f t="shared" si="35"/>
        <v>199.62495093834949</v>
      </c>
      <c r="EF112" s="79">
        <f t="shared" si="36"/>
        <v>14.385217103819645</v>
      </c>
      <c r="EG112" s="66"/>
      <c r="EH112" s="66"/>
      <c r="EI112" s="66"/>
      <c r="EJ112" s="79"/>
      <c r="EK112" s="79"/>
      <c r="EL112" s="66"/>
      <c r="EM112" s="66"/>
      <c r="EN112" s="66"/>
      <c r="EO112" s="66"/>
      <c r="EP112" s="79"/>
    </row>
    <row r="113" spans="1:146" x14ac:dyDescent="0.3">
      <c r="A113" s="86">
        <v>44735</v>
      </c>
      <c r="B113" s="106">
        <f t="shared" si="29"/>
        <v>36</v>
      </c>
      <c r="C113" s="96">
        <v>235.45297967619703</v>
      </c>
      <c r="D113" s="93">
        <v>56.77459333849729</v>
      </c>
      <c r="E113" s="93">
        <v>18.210313819049368</v>
      </c>
      <c r="F113" s="96">
        <f t="shared" si="23"/>
        <v>178.67838633769975</v>
      </c>
      <c r="J113" s="70">
        <v>0.25285730000000001</v>
      </c>
      <c r="K113" s="70">
        <f t="shared" ref="K113:K151" si="42">J113*0.2259</f>
        <v>5.7120464070000002E-2</v>
      </c>
      <c r="L113" s="70">
        <v>2.92239</v>
      </c>
      <c r="N113" s="71">
        <v>46.91216</v>
      </c>
      <c r="O113" s="71">
        <f t="shared" si="27"/>
        <v>36.426443868122313</v>
      </c>
      <c r="T113" s="72"/>
      <c r="U113" s="73"/>
      <c r="V113" s="73"/>
      <c r="W113" s="72">
        <f t="shared" si="40"/>
        <v>648.31932878976397</v>
      </c>
      <c r="X113" s="72"/>
      <c r="Y113" s="72"/>
      <c r="Z113" s="72"/>
      <c r="AA113" s="72"/>
      <c r="AB113" s="72"/>
      <c r="AD113" s="74">
        <v>7.2</v>
      </c>
      <c r="AE113" s="96">
        <v>97.058215638994142</v>
      </c>
      <c r="AF113" s="96">
        <v>110.1750580945004</v>
      </c>
      <c r="AG113" s="96">
        <v>12.378785098183151</v>
      </c>
      <c r="AH113" s="96">
        <f t="shared" si="39"/>
        <v>-13.116842455506259</v>
      </c>
      <c r="AK113" s="70">
        <v>0.2075736</v>
      </c>
      <c r="AL113" s="70">
        <v>15.73601</v>
      </c>
      <c r="AN113" s="71">
        <v>62.203600000000002</v>
      </c>
      <c r="AS113" s="72"/>
      <c r="AT113" s="75"/>
      <c r="AU113" s="75"/>
      <c r="AV113" s="75"/>
      <c r="AW113" s="75"/>
      <c r="AX113" s="72"/>
      <c r="AY113" s="72"/>
      <c r="AZ113" s="72"/>
      <c r="BA113" s="72"/>
      <c r="BD113" s="93"/>
      <c r="BE113" s="93"/>
      <c r="BF113" s="93"/>
      <c r="BG113" s="88"/>
      <c r="BK113" s="70">
        <v>0.28190559999999998</v>
      </c>
      <c r="BL113" s="70">
        <f t="shared" si="28"/>
        <v>6.3682475039999992E-2</v>
      </c>
      <c r="BM113" s="70">
        <v>16.326650000000001</v>
      </c>
      <c r="BO113" s="71">
        <v>61.79571</v>
      </c>
      <c r="BP113" s="71">
        <f t="shared" si="41"/>
        <v>47.983251285077571</v>
      </c>
      <c r="BU113" s="72"/>
      <c r="BV113" s="72"/>
      <c r="BW113" s="72"/>
      <c r="BX113" s="72">
        <f t="shared" si="31"/>
        <v>149.91</v>
      </c>
      <c r="BY113" s="72"/>
      <c r="BZ113" s="72"/>
      <c r="CA113" s="72"/>
      <c r="CB113" s="72"/>
      <c r="CD113" s="74">
        <v>6.87</v>
      </c>
      <c r="CE113" s="69"/>
      <c r="CF113" s="69"/>
      <c r="CG113" s="69"/>
      <c r="CH113" s="69"/>
      <c r="CI113" s="76"/>
      <c r="CJ113" s="76"/>
      <c r="CK113" s="177">
        <v>252.85730000000001</v>
      </c>
      <c r="CL113" s="70"/>
      <c r="CM113" s="76"/>
      <c r="CN113" s="77"/>
      <c r="CO113" s="77"/>
      <c r="CP113" s="77"/>
      <c r="CQ113" s="77"/>
      <c r="CR113" s="77"/>
      <c r="CS113" s="66"/>
      <c r="CT113" s="66"/>
      <c r="CU113" s="66"/>
      <c r="CV113" s="66"/>
      <c r="CW113" s="66"/>
      <c r="CX113" s="66"/>
      <c r="CY113" s="66"/>
      <c r="CZ113" s="66"/>
      <c r="DA113" s="168"/>
      <c r="DB113" s="67"/>
      <c r="DC113" s="69"/>
      <c r="DD113" s="69"/>
      <c r="DE113" s="69"/>
      <c r="DF113" s="69"/>
      <c r="DG113" s="70"/>
      <c r="DH113" s="70"/>
      <c r="DI113" s="70"/>
      <c r="DJ113" s="177"/>
      <c r="DK113" s="177"/>
      <c r="DL113" s="70"/>
      <c r="DM113" s="70"/>
      <c r="DN113" s="71"/>
      <c r="DO113" s="71"/>
      <c r="DP113" s="180"/>
      <c r="DQ113" s="180"/>
      <c r="DR113" s="71"/>
      <c r="DS113" s="180"/>
      <c r="DT113" s="66"/>
      <c r="DU113" s="79"/>
      <c r="DV113" s="79"/>
      <c r="DW113" s="119"/>
      <c r="DX113" s="79"/>
      <c r="DY113" s="136"/>
      <c r="DZ113" s="168"/>
      <c r="EA113" s="74"/>
      <c r="EB113" s="78">
        <f t="shared" si="32"/>
        <v>100</v>
      </c>
      <c r="EC113" s="78">
        <f t="shared" si="33"/>
        <v>100</v>
      </c>
      <c r="ED113" s="78">
        <f t="shared" si="34"/>
        <v>100</v>
      </c>
      <c r="EE113" s="78">
        <f t="shared" si="35"/>
        <v>100</v>
      </c>
      <c r="EF113" s="79">
        <f t="shared" si="36"/>
        <v>76.87713548817969</v>
      </c>
      <c r="EG113" s="66"/>
      <c r="EH113" s="79"/>
      <c r="EI113" s="79"/>
      <c r="EJ113" s="79"/>
      <c r="EK113" s="79"/>
      <c r="EL113" s="66"/>
      <c r="EM113" s="66"/>
      <c r="EN113" s="66"/>
      <c r="EO113" s="66"/>
      <c r="EP113" s="79"/>
    </row>
    <row r="114" spans="1:146" x14ac:dyDescent="0.3">
      <c r="A114" s="86">
        <v>44739</v>
      </c>
      <c r="B114" s="106">
        <f t="shared" si="29"/>
        <v>40</v>
      </c>
      <c r="C114" s="96">
        <v>129.38950988822012</v>
      </c>
      <c r="D114" s="93">
        <v>48.138555156810739</v>
      </c>
      <c r="E114" s="93">
        <v>11.143559718969556</v>
      </c>
      <c r="F114" s="96">
        <f t="shared" si="23"/>
        <v>81.250954731409379</v>
      </c>
      <c r="J114" s="70">
        <v>0.1765119</v>
      </c>
      <c r="K114" s="70">
        <f t="shared" si="42"/>
        <v>3.9874038209999997E-2</v>
      </c>
      <c r="L114" s="70">
        <v>10.046379999999999</v>
      </c>
      <c r="N114" s="71">
        <v>45.401240000000001</v>
      </c>
      <c r="O114" s="71">
        <f t="shared" si="27"/>
        <v>35.253241811998201</v>
      </c>
      <c r="T114" s="72"/>
      <c r="U114" s="73"/>
      <c r="V114" s="73"/>
      <c r="W114" s="72">
        <f t="shared" si="40"/>
        <v>302.52988853271813</v>
      </c>
      <c r="X114" s="72"/>
      <c r="Y114" s="72"/>
      <c r="Z114" s="72"/>
      <c r="AA114" s="72"/>
      <c r="AB114" s="72"/>
      <c r="AD114" s="74">
        <v>6.65</v>
      </c>
      <c r="AE114" s="96">
        <v>82.880481513327609</v>
      </c>
      <c r="AF114" s="96">
        <v>112.22967701669529</v>
      </c>
      <c r="AG114" s="96">
        <v>13.019437939110068</v>
      </c>
      <c r="AH114" s="96">
        <f t="shared" si="39"/>
        <v>-29.349195503367682</v>
      </c>
      <c r="AK114" s="70">
        <v>0.1862309</v>
      </c>
      <c r="AL114" s="70">
        <v>18.187349999999999</v>
      </c>
      <c r="AN114" s="71">
        <v>63.013820000000003</v>
      </c>
      <c r="AS114" s="72"/>
      <c r="AT114" s="75"/>
      <c r="AU114" s="75"/>
      <c r="AV114" s="75"/>
      <c r="AW114" s="75"/>
      <c r="AX114" s="72"/>
      <c r="AY114" s="72"/>
      <c r="AZ114" s="72"/>
      <c r="BA114" s="72"/>
      <c r="BD114" s="93"/>
      <c r="BE114" s="93"/>
      <c r="BF114" s="93"/>
      <c r="BG114" s="88"/>
      <c r="BK114" s="70">
        <v>0.21808520000000001</v>
      </c>
      <c r="BL114" s="70">
        <f t="shared" si="28"/>
        <v>4.9265446679999998E-2</v>
      </c>
      <c r="BM114" s="70">
        <v>20.987549999999999</v>
      </c>
      <c r="BO114" s="71">
        <v>59.799370000000003</v>
      </c>
      <c r="BP114" s="71">
        <f t="shared" si="41"/>
        <v>46.433129377416805</v>
      </c>
      <c r="BU114" s="72"/>
      <c r="BV114" s="72"/>
      <c r="BW114" s="72"/>
      <c r="BX114" s="72">
        <f t="shared" si="31"/>
        <v>149.91</v>
      </c>
      <c r="BY114" s="72"/>
      <c r="BZ114" s="72"/>
      <c r="CA114" s="72"/>
      <c r="CB114" s="72"/>
      <c r="CD114" s="74">
        <v>7</v>
      </c>
      <c r="CE114" s="69"/>
      <c r="CF114" s="69"/>
      <c r="CG114" s="69"/>
      <c r="CH114" s="69"/>
      <c r="CI114" s="76"/>
      <c r="CJ114" s="76"/>
      <c r="CK114" s="177"/>
      <c r="CL114" s="70"/>
      <c r="CM114" s="76"/>
      <c r="CN114" s="77"/>
      <c r="CO114" s="77"/>
      <c r="CP114" s="77"/>
      <c r="CQ114" s="77"/>
      <c r="CR114" s="77"/>
      <c r="CS114" s="66"/>
      <c r="CT114" s="66"/>
      <c r="CU114" s="66"/>
      <c r="CV114" s="66"/>
      <c r="CW114" s="66"/>
      <c r="CX114" s="66"/>
      <c r="CY114" s="66"/>
      <c r="CZ114" s="66"/>
      <c r="DA114" s="168"/>
      <c r="DB114" s="67"/>
      <c r="DC114" s="69"/>
      <c r="DD114" s="69"/>
      <c r="DE114" s="69"/>
      <c r="DF114" s="69"/>
      <c r="DG114" s="70"/>
      <c r="DH114" s="70"/>
      <c r="DI114" s="70"/>
      <c r="DJ114" s="177"/>
      <c r="DK114" s="177"/>
      <c r="DL114" s="70"/>
      <c r="DM114" s="70"/>
      <c r="DN114" s="71"/>
      <c r="DO114" s="71"/>
      <c r="DP114" s="180"/>
      <c r="DQ114" s="180"/>
      <c r="DR114" s="71"/>
      <c r="DS114" s="180"/>
      <c r="DT114" s="66"/>
      <c r="DU114" s="79"/>
      <c r="DV114" s="79"/>
      <c r="DW114" s="119"/>
      <c r="DX114" s="79"/>
      <c r="DY114" s="136"/>
      <c r="DZ114" s="168"/>
      <c r="EA114" s="74"/>
      <c r="EB114" s="78">
        <f t="shared" si="32"/>
        <v>100</v>
      </c>
      <c r="EC114" s="78">
        <f t="shared" si="33"/>
        <v>100</v>
      </c>
      <c r="ED114" s="78">
        <f t="shared" si="34"/>
        <v>100</v>
      </c>
      <c r="EE114" s="78">
        <f t="shared" si="35"/>
        <v>100</v>
      </c>
      <c r="EF114" s="79">
        <f t="shared" si="36"/>
        <v>50.447871208008763</v>
      </c>
      <c r="EG114" s="66"/>
      <c r="EH114" s="66"/>
      <c r="EI114" s="66"/>
      <c r="EJ114" s="79"/>
      <c r="EK114" s="79"/>
      <c r="EL114" s="66"/>
      <c r="EM114" s="66"/>
      <c r="EN114" s="66"/>
      <c r="EO114" s="66"/>
      <c r="EP114" s="79"/>
    </row>
    <row r="115" spans="1:146" s="116" customFormat="1" x14ac:dyDescent="0.3">
      <c r="A115" s="105">
        <v>44741</v>
      </c>
      <c r="B115" s="106">
        <f t="shared" si="29"/>
        <v>42</v>
      </c>
      <c r="C115" s="107">
        <v>124.70765262252796</v>
      </c>
      <c r="D115" s="108">
        <v>46.397253861756916</v>
      </c>
      <c r="E115" s="108">
        <v>12.011943793911007</v>
      </c>
      <c r="F115" s="107">
        <f t="shared" si="23"/>
        <v>78.310398760771051</v>
      </c>
      <c r="G115" s="109"/>
      <c r="H115" s="109"/>
      <c r="I115" s="109"/>
      <c r="J115" s="109">
        <v>0.26155489999999998</v>
      </c>
      <c r="K115" s="70">
        <f t="shared" si="42"/>
        <v>5.908525190999999E-2</v>
      </c>
      <c r="L115" s="109">
        <v>7.7328799999999998</v>
      </c>
      <c r="M115" s="109"/>
      <c r="N115" s="109">
        <v>44.581229999999998</v>
      </c>
      <c r="O115" s="71">
        <f t="shared" si="27"/>
        <v>34.616518876275371</v>
      </c>
      <c r="P115" s="109"/>
      <c r="Q115" s="109"/>
      <c r="R115" s="109"/>
      <c r="S115" s="109"/>
      <c r="T115" s="109"/>
      <c r="U115" s="110"/>
      <c r="V115" s="110"/>
      <c r="W115" s="109">
        <f t="shared" si="40"/>
        <v>292.09326728172863</v>
      </c>
      <c r="X115" s="109"/>
      <c r="Y115" s="109"/>
      <c r="Z115" s="109"/>
      <c r="AA115" s="109"/>
      <c r="AB115" s="109"/>
      <c r="AC115" s="168"/>
      <c r="AD115" s="109">
        <v>6.87</v>
      </c>
      <c r="AE115" s="107">
        <v>94.256233877901977</v>
      </c>
      <c r="AF115" s="107">
        <v>119.64425027305354</v>
      </c>
      <c r="AG115" s="107">
        <v>13.464168618266978</v>
      </c>
      <c r="AH115" s="107">
        <f t="shared" si="39"/>
        <v>-25.388016395151567</v>
      </c>
      <c r="AI115" s="109"/>
      <c r="AJ115" s="109"/>
      <c r="AK115" s="109">
        <v>1.0562849999999999</v>
      </c>
      <c r="AL115" s="109">
        <v>20.333159999999999</v>
      </c>
      <c r="AM115" s="109"/>
      <c r="AN115" s="109">
        <v>66.307180000000002</v>
      </c>
      <c r="AO115" s="109"/>
      <c r="AP115" s="109"/>
      <c r="AQ115" s="109"/>
      <c r="AR115" s="109"/>
      <c r="AS115" s="109"/>
      <c r="AT115" s="113"/>
      <c r="AU115" s="113"/>
      <c r="AV115" s="113"/>
      <c r="AW115" s="113"/>
      <c r="AX115" s="109"/>
      <c r="AY115" s="109"/>
      <c r="AZ115" s="109"/>
      <c r="BA115" s="109"/>
      <c r="BB115" s="168">
        <v>430.12920000000003</v>
      </c>
      <c r="BC115" s="109">
        <v>7.05</v>
      </c>
      <c r="BD115" s="108">
        <v>101.84006878761824</v>
      </c>
      <c r="BE115" s="108">
        <v>110.65688875019505</v>
      </c>
      <c r="BF115" s="108">
        <v>10.907494145199061</v>
      </c>
      <c r="BG115" s="114">
        <f t="shared" si="25"/>
        <v>-8.8168199625768153</v>
      </c>
      <c r="BH115" s="109"/>
      <c r="BI115" s="109"/>
      <c r="BJ115" s="109"/>
      <c r="BK115" s="109">
        <v>0.1829143</v>
      </c>
      <c r="BL115" s="70">
        <f t="shared" si="28"/>
        <v>4.132034037E-2</v>
      </c>
      <c r="BM115" s="109">
        <v>20.29871</v>
      </c>
      <c r="BN115" s="109"/>
      <c r="BO115" s="109">
        <v>65.593090000000004</v>
      </c>
      <c r="BP115" s="71">
        <f t="shared" si="41"/>
        <v>50.931848182255841</v>
      </c>
      <c r="BQ115" s="109"/>
      <c r="BR115" s="109"/>
      <c r="BS115" s="109"/>
      <c r="BT115" s="109"/>
      <c r="BU115" s="109"/>
      <c r="BV115" s="109"/>
      <c r="BW115" s="109"/>
      <c r="BX115" s="109">
        <f t="shared" si="31"/>
        <v>121.45371357078332</v>
      </c>
      <c r="BY115" s="109"/>
      <c r="BZ115" s="109"/>
      <c r="CA115" s="109"/>
      <c r="CB115" s="109"/>
      <c r="CC115" s="168"/>
      <c r="CD115" s="109">
        <v>7.07</v>
      </c>
      <c r="CE115" s="109">
        <v>36.843508168529667</v>
      </c>
      <c r="CF115" s="109">
        <v>12.388516149165236</v>
      </c>
      <c r="CG115" s="109">
        <v>36.948477751756442</v>
      </c>
      <c r="CH115" s="107">
        <f t="shared" ref="CH115:CH158" si="43">CE115-CF115</f>
        <v>24.454992019364433</v>
      </c>
      <c r="CI115" s="115"/>
      <c r="CJ115" s="115"/>
      <c r="CK115" s="113">
        <v>148.35390000000001</v>
      </c>
      <c r="CL115" s="109">
        <v>1.96438</v>
      </c>
      <c r="CM115" s="115"/>
      <c r="CN115" s="115">
        <v>2.0168490000000001</v>
      </c>
      <c r="CO115" s="115"/>
      <c r="CP115" s="115"/>
      <c r="CQ115" s="115"/>
      <c r="CR115" s="115"/>
      <c r="CS115" s="115"/>
      <c r="CT115" s="115"/>
      <c r="CU115" s="115"/>
      <c r="CV115" s="115"/>
      <c r="CW115" s="115"/>
      <c r="CX115" s="115"/>
      <c r="CY115" s="115"/>
      <c r="CZ115" s="115"/>
      <c r="DA115" s="168">
        <v>47.594250000000002</v>
      </c>
      <c r="DB115" s="115">
        <v>6.89</v>
      </c>
      <c r="DC115" s="109">
        <v>17.308684436801375</v>
      </c>
      <c r="DD115" s="109">
        <v>2.3105008581682012</v>
      </c>
      <c r="DE115" s="109">
        <v>42.639344262295076</v>
      </c>
      <c r="DF115" s="107">
        <f>DC115-DD115</f>
        <v>14.998183578633174</v>
      </c>
      <c r="DG115" s="109"/>
      <c r="DH115" s="109"/>
      <c r="DI115" s="109"/>
      <c r="DJ115" s="113">
        <v>200.8664</v>
      </c>
      <c r="DK115" s="177">
        <f t="shared" ref="DK115:DK153" si="44">DJ115*0.2259</f>
        <v>45.375719759999996</v>
      </c>
      <c r="DL115" s="109">
        <v>1.35415</v>
      </c>
      <c r="DM115" s="109"/>
      <c r="DN115" s="109">
        <v>0.11213529999999999</v>
      </c>
      <c r="DO115" s="71">
        <f t="shared" ref="DO115:DO153" si="45">DN115/1.28786</f>
        <v>8.7071032565651546E-2</v>
      </c>
      <c r="DP115" s="113"/>
      <c r="DQ115" s="113"/>
      <c r="DR115" s="109"/>
      <c r="DS115" s="113"/>
      <c r="DT115" s="115"/>
      <c r="DU115" s="109"/>
      <c r="DV115" s="109">
        <f xml:space="preserve"> 4.4893*DF115 - 19.29</f>
        <v>48.041345539557916</v>
      </c>
      <c r="DW115" s="110"/>
      <c r="DX115" s="109"/>
      <c r="DY115" s="113"/>
      <c r="DZ115" s="168"/>
      <c r="EA115" s="109">
        <v>6.51</v>
      </c>
      <c r="EB115" s="109">
        <f t="shared" si="32"/>
        <v>18.336953149239843</v>
      </c>
      <c r="EC115" s="109">
        <f t="shared" si="33"/>
        <v>-138.49878934624695</v>
      </c>
      <c r="ED115" s="109">
        <f t="shared" si="34"/>
        <v>9.194595543077746</v>
      </c>
      <c r="EE115" s="109">
        <f t="shared" si="35"/>
        <v>111.25881122060322</v>
      </c>
      <c r="EF115" s="109">
        <f t="shared" si="36"/>
        <v>58.419543626919932</v>
      </c>
      <c r="EG115" s="115"/>
      <c r="EH115" s="115"/>
      <c r="EI115" s="115"/>
      <c r="EJ115" s="109">
        <f t="shared" ref="EJ115:EJ137" si="46">(F115-DF115)/F115*100</f>
        <v>80.847775243169366</v>
      </c>
      <c r="EK115" s="109">
        <f>(BX115-DV115)/BX115*100</f>
        <v>60.44472900241179</v>
      </c>
      <c r="EL115" s="115"/>
      <c r="EM115" s="115"/>
      <c r="EN115" s="115"/>
      <c r="EO115" s="115"/>
      <c r="EP115" s="109">
        <f t="shared" ref="EP115:EP137" si="47">(W115-DV115)/W115*100</f>
        <v>83.55273779959424</v>
      </c>
    </row>
    <row r="116" spans="1:146" x14ac:dyDescent="0.3">
      <c r="A116" s="86">
        <v>44742</v>
      </c>
      <c r="B116" s="106">
        <f t="shared" si="29"/>
        <v>43</v>
      </c>
      <c r="C116" s="96">
        <v>104.07821229050279</v>
      </c>
      <c r="D116" s="93">
        <v>54.489325756412228</v>
      </c>
      <c r="E116" s="93">
        <v>14.093306288032455</v>
      </c>
      <c r="F116" s="96">
        <f t="shared" si="23"/>
        <v>49.588886534090562</v>
      </c>
      <c r="G116" s="70">
        <v>58.234900000000003</v>
      </c>
      <c r="J116" s="70">
        <v>0.19756180000000001</v>
      </c>
      <c r="K116" s="70">
        <f t="shared" si="42"/>
        <v>4.4629210619999998E-2</v>
      </c>
      <c r="L116" s="70">
        <v>8.2978400000000008</v>
      </c>
      <c r="M116" s="70">
        <v>31.817799999999998</v>
      </c>
      <c r="N116" s="71">
        <v>55.215890000000002</v>
      </c>
      <c r="O116" s="71">
        <f t="shared" si="27"/>
        <v>42.87414004627832</v>
      </c>
      <c r="T116" s="72"/>
      <c r="U116" s="73"/>
      <c r="V116" s="73"/>
      <c r="W116" s="72">
        <f t="shared" si="40"/>
        <v>190.15487608679422</v>
      </c>
      <c r="X116" s="72"/>
      <c r="Y116" s="72"/>
      <c r="Z116" s="72"/>
      <c r="AA116" s="72"/>
      <c r="AB116" s="72"/>
      <c r="AD116" s="74">
        <v>7.04</v>
      </c>
      <c r="AE116" s="97">
        <v>91.795690343176375</v>
      </c>
      <c r="AF116" s="97">
        <v>125.84242051912149</v>
      </c>
      <c r="AG116" s="97">
        <v>13.599331821978282</v>
      </c>
      <c r="AH116" s="96">
        <f t="shared" si="39"/>
        <v>-34.046730175945115</v>
      </c>
      <c r="AS116" s="72"/>
      <c r="AT116" s="75"/>
      <c r="AU116" s="75"/>
      <c r="AV116" s="75"/>
      <c r="AW116" s="75"/>
      <c r="AX116" s="72"/>
      <c r="AY116" s="72"/>
      <c r="AZ116" s="72"/>
      <c r="BA116" s="72"/>
      <c r="BC116" s="74">
        <v>6.69</v>
      </c>
      <c r="BD116" s="93">
        <v>84.648842777334409</v>
      </c>
      <c r="BE116" s="93">
        <v>120.42389801873753</v>
      </c>
      <c r="BF116" s="93">
        <v>14.879370003579524</v>
      </c>
      <c r="BG116" s="88">
        <f t="shared" si="25"/>
        <v>-35.775055241403123</v>
      </c>
      <c r="BK116" s="70">
        <v>0.23053850000000001</v>
      </c>
      <c r="BL116" s="70">
        <f t="shared" si="28"/>
        <v>5.2078647149999997E-2</v>
      </c>
      <c r="BM116" s="70">
        <v>15.585570000000001</v>
      </c>
      <c r="BN116" s="70">
        <v>8.8193000000000001</v>
      </c>
      <c r="BO116" s="71">
        <v>68.920910000000006</v>
      </c>
      <c r="BP116" s="71">
        <f t="shared" si="41"/>
        <v>53.515840231081022</v>
      </c>
      <c r="BU116" s="72"/>
      <c r="BV116" s="72"/>
      <c r="BW116" s="72"/>
      <c r="BX116" s="153"/>
      <c r="BY116" s="72"/>
      <c r="BZ116" s="72"/>
      <c r="CA116" s="72"/>
      <c r="CB116" s="72"/>
      <c r="CD116" s="74">
        <v>6.71</v>
      </c>
      <c r="CE116" s="69">
        <v>69.134078212290504</v>
      </c>
      <c r="CF116" s="69">
        <v>23.327292274612198</v>
      </c>
      <c r="CG116" s="69">
        <v>90.010738575348995</v>
      </c>
      <c r="CH116" s="69">
        <f t="shared" si="43"/>
        <v>45.806785937678306</v>
      </c>
      <c r="CI116" s="76"/>
      <c r="CJ116" s="76"/>
      <c r="CK116" s="177"/>
      <c r="CL116" s="70"/>
      <c r="CM116" s="76"/>
      <c r="CN116" s="77"/>
      <c r="CO116" s="77"/>
      <c r="CP116" s="77"/>
      <c r="CQ116" s="77"/>
      <c r="CR116" s="77"/>
      <c r="CS116" s="66"/>
      <c r="CT116" s="66"/>
      <c r="CU116" s="66"/>
      <c r="CV116" s="66"/>
      <c r="CW116" s="66"/>
      <c r="CX116" s="66"/>
      <c r="CY116" s="66"/>
      <c r="CZ116" s="66"/>
      <c r="DA116" s="168"/>
      <c r="DB116" s="67">
        <v>6.87</v>
      </c>
      <c r="DC116" s="69">
        <v>25.606544293695134</v>
      </c>
      <c r="DD116" s="69">
        <v>7.0385501459069264</v>
      </c>
      <c r="DE116" s="69">
        <v>105.25951557093424</v>
      </c>
      <c r="DF116" s="69">
        <f t="shared" ref="DF116:DF162" si="48">DC116-DD116</f>
        <v>18.567994147788205</v>
      </c>
      <c r="DG116" s="70"/>
      <c r="DH116" s="70"/>
      <c r="DI116" s="70"/>
      <c r="DJ116" s="177">
        <v>462.95800000000003</v>
      </c>
      <c r="DK116" s="177">
        <f t="shared" si="44"/>
        <v>104.5822122</v>
      </c>
      <c r="DL116" s="70">
        <v>4.5307700000000004</v>
      </c>
      <c r="DM116" s="70">
        <v>104.5123</v>
      </c>
      <c r="DN116" s="71">
        <v>1.2538</v>
      </c>
      <c r="DO116" s="71">
        <f t="shared" si="45"/>
        <v>0.97355302595002569</v>
      </c>
      <c r="DP116" s="180"/>
      <c r="DQ116" s="180"/>
      <c r="DR116" s="71"/>
      <c r="DS116" s="180"/>
      <c r="DT116" s="66"/>
      <c r="DU116" s="79"/>
      <c r="DV116" s="79">
        <f t="shared" ref="DV116:DV153" si="49" xml:space="preserve"> 4.4893*DF116 - 19.29</f>
        <v>64.0672961276656</v>
      </c>
      <c r="DW116" s="119"/>
      <c r="DX116" s="79"/>
      <c r="DY116" s="136"/>
      <c r="DZ116" s="168"/>
      <c r="EA116" s="74">
        <v>6.93</v>
      </c>
      <c r="EB116" s="78">
        <f t="shared" si="32"/>
        <v>18.668046928916482</v>
      </c>
      <c r="EC116" s="78">
        <f t="shared" si="33"/>
        <v>-121.00456621004567</v>
      </c>
      <c r="ED116" s="78">
        <f t="shared" si="34"/>
        <v>-5.5775678146906307</v>
      </c>
      <c r="EE116" s="78">
        <f t="shared" si="35"/>
        <v>172.14329205962119</v>
      </c>
      <c r="EF116" s="79"/>
      <c r="EG116" s="66"/>
      <c r="EH116" s="66"/>
      <c r="EI116" s="66"/>
      <c r="EJ116" s="79">
        <f t="shared" si="46"/>
        <v>62.55613818829471</v>
      </c>
      <c r="EK116" s="79"/>
      <c r="EL116" s="66"/>
      <c r="EM116" s="66"/>
      <c r="EN116" s="66"/>
      <c r="EO116" s="66"/>
      <c r="EP116" s="79">
        <f t="shared" si="47"/>
        <v>66.307834200148122</v>
      </c>
    </row>
    <row r="117" spans="1:146" x14ac:dyDescent="0.3">
      <c r="A117" s="86">
        <v>44743</v>
      </c>
      <c r="B117" s="106">
        <f t="shared" si="29"/>
        <v>44</v>
      </c>
      <c r="C117" s="96">
        <v>337.69752593774945</v>
      </c>
      <c r="D117" s="93">
        <v>44.730456151128863</v>
      </c>
      <c r="E117" s="93">
        <v>14.222169192220498</v>
      </c>
      <c r="F117" s="96">
        <f t="shared" si="23"/>
        <v>292.96706978662058</v>
      </c>
      <c r="G117" s="70">
        <v>56.214199999999998</v>
      </c>
      <c r="J117" s="70">
        <v>0.25144729999999998</v>
      </c>
      <c r="K117" s="70">
        <f t="shared" si="42"/>
        <v>5.6801945069999991E-2</v>
      </c>
      <c r="L117" s="70">
        <v>5.5692500000000003</v>
      </c>
      <c r="M117" s="70">
        <v>39.987299999999998</v>
      </c>
      <c r="N117" s="71">
        <v>52.314689999999999</v>
      </c>
      <c r="O117" s="71">
        <f t="shared" si="27"/>
        <v>40.621410712344506</v>
      </c>
      <c r="T117" s="72"/>
      <c r="U117" s="73"/>
      <c r="V117" s="73"/>
      <c r="W117" s="72">
        <f t="shared" si="40"/>
        <v>1053.9527240866737</v>
      </c>
      <c r="X117" s="72"/>
      <c r="Y117" s="72"/>
      <c r="Z117" s="72"/>
      <c r="AA117" s="72"/>
      <c r="AB117" s="72"/>
      <c r="AD117" s="74">
        <v>7.19</v>
      </c>
      <c r="AE117" s="97">
        <v>108.96249002394254</v>
      </c>
      <c r="AF117" s="97">
        <v>106.15880817078789</v>
      </c>
      <c r="AG117" s="97">
        <v>12.523326572008116</v>
      </c>
      <c r="AH117" s="96">
        <f t="shared" si="39"/>
        <v>2.803681853154643</v>
      </c>
      <c r="AS117" s="72"/>
      <c r="AT117" s="75"/>
      <c r="AU117" s="75"/>
      <c r="AV117" s="75"/>
      <c r="AW117" s="75"/>
      <c r="AX117" s="72"/>
      <c r="AY117" s="72"/>
      <c r="AZ117" s="72"/>
      <c r="BA117" s="72"/>
      <c r="BB117" s="168">
        <v>402.66829999999999</v>
      </c>
      <c r="BC117" s="74">
        <v>6.91</v>
      </c>
      <c r="BD117" s="93">
        <v>98.188347964884287</v>
      </c>
      <c r="BE117" s="93">
        <v>105.24650591307021</v>
      </c>
      <c r="BF117" s="93">
        <v>12.057272401861352</v>
      </c>
      <c r="BG117" s="88">
        <f t="shared" si="25"/>
        <v>-7.0581579481859222</v>
      </c>
      <c r="BK117" s="70">
        <v>0.34860409999999997</v>
      </c>
      <c r="BL117" s="70">
        <f t="shared" si="28"/>
        <v>7.8749666189999984E-2</v>
      </c>
      <c r="BM117" s="70">
        <v>17.823840000000001</v>
      </c>
      <c r="BN117" s="70">
        <v>2.1086999999999998</v>
      </c>
      <c r="BO117" s="71">
        <v>68.464280000000002</v>
      </c>
      <c r="BP117" s="71">
        <f t="shared" si="41"/>
        <v>53.161275293898406</v>
      </c>
      <c r="BU117" s="72"/>
      <c r="BV117" s="72"/>
      <c r="BW117" s="72"/>
      <c r="BX117" s="72">
        <f t="shared" ref="BX117:BX170" si="50" xml:space="preserve"> 3.2275*BG117 + 149.91</f>
        <v>127.12979522222993</v>
      </c>
      <c r="BY117" s="72"/>
      <c r="BZ117" s="72"/>
      <c r="CA117" s="72"/>
      <c r="CB117" s="72"/>
      <c r="CD117" s="74">
        <v>7.26</v>
      </c>
      <c r="CE117" s="69">
        <v>59.114126097366324</v>
      </c>
      <c r="CF117" s="69">
        <v>16.656427584088469</v>
      </c>
      <c r="CG117" s="69">
        <v>109.03949409378356</v>
      </c>
      <c r="CH117" s="69">
        <f t="shared" si="43"/>
        <v>42.457698513277855</v>
      </c>
      <c r="CI117" s="76"/>
      <c r="CJ117" s="76"/>
      <c r="CK117" s="177"/>
      <c r="CL117" s="70"/>
      <c r="CM117" s="76"/>
      <c r="CN117" s="77"/>
      <c r="CO117" s="77"/>
      <c r="CP117" s="77"/>
      <c r="CQ117" s="77"/>
      <c r="CR117" s="77"/>
      <c r="CS117" s="66"/>
      <c r="CT117" s="66"/>
      <c r="CU117" s="66"/>
      <c r="CV117" s="66"/>
      <c r="CW117" s="66"/>
      <c r="CX117" s="66"/>
      <c r="CY117" s="66"/>
      <c r="CZ117" s="66"/>
      <c r="DA117" s="168">
        <v>94.884600000000006</v>
      </c>
      <c r="DB117" s="67">
        <v>7.44</v>
      </c>
      <c r="DC117" s="69">
        <v>30.914604948124502</v>
      </c>
      <c r="DD117" s="69">
        <v>13.504837966518199</v>
      </c>
      <c r="DE117" s="69">
        <v>113.03424412361295</v>
      </c>
      <c r="DF117" s="69">
        <f t="shared" si="48"/>
        <v>17.409766981606303</v>
      </c>
      <c r="DG117" s="70"/>
      <c r="DH117" s="70"/>
      <c r="DI117" s="70"/>
      <c r="DJ117" s="177">
        <v>472.46190000000001</v>
      </c>
      <c r="DK117" s="177">
        <f t="shared" si="44"/>
        <v>106.72914321</v>
      </c>
      <c r="DL117" s="70">
        <v>8.1639300000000006</v>
      </c>
      <c r="DM117" s="70">
        <v>96.627099999999999</v>
      </c>
      <c r="DN117" s="71">
        <v>12.608549999999999</v>
      </c>
      <c r="DO117" s="71">
        <f t="shared" si="45"/>
        <v>9.790311058655444</v>
      </c>
      <c r="DP117" s="180"/>
      <c r="DQ117" s="180"/>
      <c r="DR117" s="71"/>
      <c r="DS117" s="180"/>
      <c r="DT117" s="66"/>
      <c r="DU117" s="79"/>
      <c r="DV117" s="79">
        <f t="shared" si="49"/>
        <v>58.86766691052518</v>
      </c>
      <c r="DW117" s="119"/>
      <c r="DX117" s="79"/>
      <c r="DY117" s="136"/>
      <c r="DZ117" s="168"/>
      <c r="EA117" s="74">
        <v>7.77</v>
      </c>
      <c r="EB117" s="78">
        <f t="shared" si="32"/>
        <v>70.924173136233122</v>
      </c>
      <c r="EC117" s="78">
        <f t="shared" si="33"/>
        <v>-135.29048207663786</v>
      </c>
      <c r="ED117" s="78">
        <f t="shared" si="34"/>
        <v>15.221987315010571</v>
      </c>
      <c r="EE117" s="78">
        <f t="shared" si="35"/>
        <v>102.40919839670946</v>
      </c>
      <c r="EF117" s="79">
        <f t="shared" ref="EF117:EF126" si="51">(W117-BX117)/W117*100</f>
        <v>87.937808564193702</v>
      </c>
      <c r="EG117" s="66"/>
      <c r="EH117" s="66"/>
      <c r="EI117" s="66"/>
      <c r="EJ117" s="79">
        <f t="shared" si="46"/>
        <v>94.057432122222295</v>
      </c>
      <c r="EK117" s="79">
        <f t="shared" ref="EK117:EK137" si="52">(BX117-DV117)/BX117*100</f>
        <v>53.69483069832588</v>
      </c>
      <c r="EL117" s="66"/>
      <c r="EM117" s="66"/>
      <c r="EN117" s="66"/>
      <c r="EO117" s="66"/>
      <c r="EP117" s="79">
        <f t="shared" si="47"/>
        <v>94.414581834157858</v>
      </c>
    </row>
    <row r="118" spans="1:146" x14ac:dyDescent="0.3">
      <c r="A118" s="86">
        <v>44746</v>
      </c>
      <c r="B118" s="106">
        <f t="shared" si="29"/>
        <v>47</v>
      </c>
      <c r="C118" s="96">
        <v>244.08945686900952</v>
      </c>
      <c r="D118" s="93">
        <v>63.900841908325539</v>
      </c>
      <c r="E118" s="93">
        <v>20.811387900355875</v>
      </c>
      <c r="F118" s="96">
        <f t="shared" si="23"/>
        <v>180.18861496068399</v>
      </c>
      <c r="J118" s="70">
        <v>0.2923288</v>
      </c>
      <c r="K118" s="70">
        <f t="shared" si="42"/>
        <v>6.6037075919999993E-2</v>
      </c>
      <c r="L118" s="70">
        <v>5.9288999999999996</v>
      </c>
      <c r="M118" s="70">
        <v>41.259</v>
      </c>
      <c r="N118" s="71">
        <v>87.606390000000005</v>
      </c>
      <c r="O118" s="71">
        <f t="shared" si="27"/>
        <v>68.024777537931143</v>
      </c>
      <c r="T118" s="72"/>
      <c r="U118" s="73"/>
      <c r="V118" s="73"/>
      <c r="W118" s="72">
        <f t="shared" si="40"/>
        <v>653.67943221845962</v>
      </c>
      <c r="X118" s="72"/>
      <c r="Y118" s="72"/>
      <c r="Z118" s="72"/>
      <c r="AA118" s="72"/>
      <c r="AB118" s="72"/>
      <c r="AD118" s="74">
        <v>7.28</v>
      </c>
      <c r="AE118" s="97"/>
      <c r="AF118" s="97"/>
      <c r="AG118" s="97"/>
      <c r="AH118" s="96">
        <f t="shared" si="39"/>
        <v>0</v>
      </c>
      <c r="AS118" s="72"/>
      <c r="AT118" s="75"/>
      <c r="AU118" s="75"/>
      <c r="AV118" s="75"/>
      <c r="AW118" s="75"/>
      <c r="AX118" s="72"/>
      <c r="AY118" s="72"/>
      <c r="AZ118" s="72"/>
      <c r="BA118" s="72"/>
      <c r="BB118" s="168">
        <v>433.76769999999999</v>
      </c>
      <c r="BC118" s="74">
        <v>7.03</v>
      </c>
      <c r="BD118" s="93">
        <v>117.82747603833866</v>
      </c>
      <c r="BE118" s="93">
        <v>112.73152478952292</v>
      </c>
      <c r="BF118" s="93">
        <v>15.164887307236064</v>
      </c>
      <c r="BG118" s="88">
        <f t="shared" si="25"/>
        <v>5.0959512488157372</v>
      </c>
      <c r="BK118" s="70">
        <v>0.210204</v>
      </c>
      <c r="BL118" s="70">
        <f t="shared" si="28"/>
        <v>4.7485083599999998E-2</v>
      </c>
      <c r="BM118" s="70">
        <v>17.219629999999999</v>
      </c>
      <c r="BN118" s="70">
        <v>1.7430000000000001</v>
      </c>
      <c r="BO118" s="71">
        <v>87.660719999999998</v>
      </c>
      <c r="BP118" s="71">
        <f t="shared" si="41"/>
        <v>68.066963800413092</v>
      </c>
      <c r="BU118" s="72"/>
      <c r="BV118" s="72"/>
      <c r="BW118" s="72"/>
      <c r="BX118" s="72">
        <f t="shared" si="50"/>
        <v>166.35718265555278</v>
      </c>
      <c r="BY118" s="72"/>
      <c r="BZ118" s="72"/>
      <c r="CA118" s="72"/>
      <c r="CB118" s="72"/>
      <c r="CD118" s="74">
        <v>7.38</v>
      </c>
      <c r="CE118" s="69"/>
      <c r="CF118" s="69"/>
      <c r="CG118" s="69"/>
      <c r="CH118" s="69">
        <f t="shared" si="43"/>
        <v>0</v>
      </c>
      <c r="CI118" s="76"/>
      <c r="CJ118" s="76"/>
      <c r="CK118" s="177"/>
      <c r="CL118" s="70"/>
      <c r="CM118" s="76"/>
      <c r="CN118" s="77"/>
      <c r="CO118" s="77"/>
      <c r="CP118" s="77"/>
      <c r="CQ118" s="77"/>
      <c r="CR118" s="77"/>
      <c r="CS118" s="66"/>
      <c r="CT118" s="66"/>
      <c r="CU118" s="66"/>
      <c r="CV118" s="66"/>
      <c r="CW118" s="66"/>
      <c r="CX118" s="66"/>
      <c r="CY118" s="66"/>
      <c r="CZ118" s="66"/>
      <c r="DA118" s="168">
        <v>93.16968</v>
      </c>
      <c r="DB118" s="67">
        <v>7.18</v>
      </c>
      <c r="DC118" s="69">
        <v>30.645367412140576</v>
      </c>
      <c r="DD118" s="69">
        <v>7.7736202057998138</v>
      </c>
      <c r="DE118" s="69">
        <v>96.536180308422303</v>
      </c>
      <c r="DF118" s="69">
        <f t="shared" si="48"/>
        <v>22.871747206340764</v>
      </c>
      <c r="DG118" s="70"/>
      <c r="DH118" s="70"/>
      <c r="DI118" s="70"/>
      <c r="DJ118" s="177">
        <v>409.2149</v>
      </c>
      <c r="DK118" s="177">
        <f t="shared" si="44"/>
        <v>92.441645909999991</v>
      </c>
      <c r="DL118" s="70">
        <v>6.34436</v>
      </c>
      <c r="DM118" s="70">
        <v>95.145799999999994</v>
      </c>
      <c r="DN118" s="71">
        <v>5.6220800000000004</v>
      </c>
      <c r="DO118" s="71">
        <f t="shared" si="45"/>
        <v>4.3654434488220772</v>
      </c>
      <c r="DP118" s="180"/>
      <c r="DQ118" s="180"/>
      <c r="DR118" s="71"/>
      <c r="DS118" s="180"/>
      <c r="DT118" s="66"/>
      <c r="DU118" s="79"/>
      <c r="DV118" s="79">
        <f t="shared" si="49"/>
        <v>83.388134733425602</v>
      </c>
      <c r="DW118" s="119"/>
      <c r="DX118" s="79"/>
      <c r="DY118" s="136"/>
      <c r="DZ118" s="168"/>
      <c r="EA118" s="74">
        <v>7.45</v>
      </c>
      <c r="EB118" s="78">
        <f t="shared" si="32"/>
        <v>51.727748691099464</v>
      </c>
      <c r="EC118" s="78">
        <f t="shared" si="33"/>
        <v>-76.4163372859025</v>
      </c>
      <c r="ED118" s="78">
        <f t="shared" si="34"/>
        <v>27.131782945736433</v>
      </c>
      <c r="EE118" s="78">
        <f t="shared" si="35"/>
        <v>97.171879449804507</v>
      </c>
      <c r="EF118" s="79">
        <f t="shared" si="51"/>
        <v>74.550647541262066</v>
      </c>
      <c r="EG118" s="66"/>
      <c r="EH118" s="140"/>
      <c r="EI118" s="140"/>
      <c r="EJ118" s="141">
        <f t="shared" si="46"/>
        <v>87.306774508849401</v>
      </c>
      <c r="EK118" s="79">
        <f t="shared" si="52"/>
        <v>49.874040061087669</v>
      </c>
      <c r="EL118" s="66"/>
      <c r="EM118" s="66"/>
      <c r="EN118" s="66"/>
      <c r="EO118" s="66"/>
      <c r="EP118" s="79">
        <f t="shared" si="47"/>
        <v>87.243267781820407</v>
      </c>
    </row>
    <row r="119" spans="1:146" x14ac:dyDescent="0.3">
      <c r="A119" s="86">
        <v>44747</v>
      </c>
      <c r="B119" s="106">
        <f t="shared" si="29"/>
        <v>48</v>
      </c>
      <c r="C119" s="96">
        <v>391.09691160809371</v>
      </c>
      <c r="D119" s="93">
        <v>49.672591206735262</v>
      </c>
      <c r="E119" s="93">
        <v>27.069988137603801</v>
      </c>
      <c r="F119" s="96">
        <f t="shared" si="23"/>
        <v>341.42432040135844</v>
      </c>
      <c r="J119" s="70">
        <v>0.23914830000000001</v>
      </c>
      <c r="K119" s="70">
        <f t="shared" si="42"/>
        <v>5.4023600970000002E-2</v>
      </c>
      <c r="L119" s="70">
        <v>6.8564299999999996</v>
      </c>
      <c r="M119" s="70">
        <v>45.384399999999999</v>
      </c>
      <c r="N119" s="71">
        <v>62.647010000000002</v>
      </c>
      <c r="O119" s="71">
        <f t="shared" si="27"/>
        <v>48.64427033994378</v>
      </c>
      <c r="T119" s="72"/>
      <c r="U119" s="73"/>
      <c r="V119" s="73"/>
      <c r="W119" s="72">
        <f t="shared" si="40"/>
        <v>1225.9371979685013</v>
      </c>
      <c r="X119" s="72"/>
      <c r="Y119" s="72"/>
      <c r="Z119" s="72"/>
      <c r="AA119" s="72"/>
      <c r="AB119" s="72"/>
      <c r="AD119" s="74">
        <v>7.36</v>
      </c>
      <c r="AE119" s="97"/>
      <c r="AF119" s="97"/>
      <c r="AG119" s="97"/>
      <c r="AH119" s="96">
        <f t="shared" si="39"/>
        <v>0</v>
      </c>
      <c r="AS119" s="72"/>
      <c r="AT119" s="75"/>
      <c r="AU119" s="75"/>
      <c r="AV119" s="75"/>
      <c r="AW119" s="75"/>
      <c r="AX119" s="72"/>
      <c r="AY119" s="72"/>
      <c r="AZ119" s="72"/>
      <c r="BA119" s="72"/>
      <c r="BC119" s="74">
        <v>7.02</v>
      </c>
      <c r="BD119" s="93">
        <v>130.22364217252397</v>
      </c>
      <c r="BE119" s="93">
        <v>109.53227315247895</v>
      </c>
      <c r="BF119" s="93">
        <v>19.039145907473312</v>
      </c>
      <c r="BG119" s="88">
        <f t="shared" si="25"/>
        <v>20.691369020045016</v>
      </c>
      <c r="BK119" s="70">
        <v>0.2187964</v>
      </c>
      <c r="BL119" s="70">
        <f t="shared" si="28"/>
        <v>4.9426106759999998E-2</v>
      </c>
      <c r="BM119" s="70">
        <v>15.00657</v>
      </c>
      <c r="BN119" s="70">
        <v>1.9128000000000001</v>
      </c>
      <c r="BO119" s="71">
        <v>95.48415</v>
      </c>
      <c r="BP119" s="71">
        <f t="shared" si="41"/>
        <v>74.141715714441006</v>
      </c>
      <c r="BU119" s="72"/>
      <c r="BV119" s="72"/>
      <c r="BW119" s="72"/>
      <c r="BX119" s="72">
        <f t="shared" si="50"/>
        <v>216.6913935121953</v>
      </c>
      <c r="BY119" s="72"/>
      <c r="BZ119" s="72"/>
      <c r="CA119" s="72"/>
      <c r="CB119" s="72"/>
      <c r="CD119" s="74">
        <v>7.54</v>
      </c>
      <c r="CE119" s="69"/>
      <c r="CF119" s="69"/>
      <c r="CG119" s="69"/>
      <c r="CH119" s="69">
        <f t="shared" si="43"/>
        <v>0</v>
      </c>
      <c r="CI119" s="76"/>
      <c r="CJ119" s="76"/>
      <c r="CK119" s="177"/>
      <c r="CL119" s="70"/>
      <c r="CM119" s="76"/>
      <c r="CN119" s="77"/>
      <c r="CO119" s="77"/>
      <c r="CP119" s="77"/>
      <c r="CQ119" s="77"/>
      <c r="CR119" s="77"/>
      <c r="CS119" s="66"/>
      <c r="CT119" s="66"/>
      <c r="CU119" s="66"/>
      <c r="CV119" s="66"/>
      <c r="CW119" s="66"/>
      <c r="CX119" s="66"/>
      <c r="CY119" s="66"/>
      <c r="CZ119" s="66"/>
      <c r="DA119" s="168"/>
      <c r="DB119" s="67">
        <v>7.05</v>
      </c>
      <c r="DC119" s="69">
        <v>23.176991150442475</v>
      </c>
      <c r="DD119" s="69">
        <v>5.0128190050570387</v>
      </c>
      <c r="DE119" s="69">
        <v>100.06613499319198</v>
      </c>
      <c r="DF119" s="69">
        <f t="shared" si="48"/>
        <v>18.164172145385436</v>
      </c>
      <c r="DG119" s="70"/>
      <c r="DH119" s="70"/>
      <c r="DI119" s="70"/>
      <c r="DJ119" s="177">
        <v>433.17970000000003</v>
      </c>
      <c r="DK119" s="177">
        <f t="shared" si="44"/>
        <v>97.855294229999998</v>
      </c>
      <c r="DL119" s="70">
        <v>6.4600600000000004</v>
      </c>
      <c r="DM119" s="70">
        <v>83.599100000000007</v>
      </c>
      <c r="DN119" s="71">
        <v>0.14187</v>
      </c>
      <c r="DO119" s="71">
        <f t="shared" si="45"/>
        <v>0.11015948938549221</v>
      </c>
      <c r="DP119" s="180"/>
      <c r="DQ119" s="180"/>
      <c r="DR119" s="71"/>
      <c r="DS119" s="180"/>
      <c r="DT119" s="66"/>
      <c r="DU119" s="79"/>
      <c r="DV119" s="79">
        <f t="shared" si="49"/>
        <v>62.25441801227884</v>
      </c>
      <c r="DW119" s="119"/>
      <c r="DX119" s="79"/>
      <c r="DY119" s="136"/>
      <c r="DZ119" s="168"/>
      <c r="EA119" s="74">
        <v>7.07</v>
      </c>
      <c r="EB119" s="78">
        <f t="shared" si="32"/>
        <v>66.702973532294948</v>
      </c>
      <c r="EC119" s="78">
        <f t="shared" si="33"/>
        <v>-120.50847457627121</v>
      </c>
      <c r="ED119" s="78">
        <f t="shared" si="34"/>
        <v>29.666958808063104</v>
      </c>
      <c r="EE119" s="78">
        <f t="shared" si="35"/>
        <v>93.939690940668356</v>
      </c>
      <c r="EF119" s="79">
        <f t="shared" si="51"/>
        <v>82.324429516350889</v>
      </c>
      <c r="EG119" s="66"/>
      <c r="EH119" s="140"/>
      <c r="EI119" s="140"/>
      <c r="EJ119" s="141">
        <f t="shared" si="46"/>
        <v>94.679883341634053</v>
      </c>
      <c r="EK119" s="79">
        <f t="shared" si="52"/>
        <v>71.27047041267231</v>
      </c>
      <c r="EL119" s="66"/>
      <c r="EM119" s="66"/>
      <c r="EN119" s="66"/>
      <c r="EO119" s="66"/>
      <c r="EP119" s="79">
        <f t="shared" si="47"/>
        <v>94.921891748171078</v>
      </c>
    </row>
    <row r="120" spans="1:146" x14ac:dyDescent="0.3">
      <c r="A120" s="86">
        <v>44748</v>
      </c>
      <c r="B120" s="106">
        <f t="shared" si="29"/>
        <v>49</v>
      </c>
      <c r="C120" s="96">
        <v>144.34892541087231</v>
      </c>
      <c r="D120" s="93">
        <v>42.761378337057508</v>
      </c>
      <c r="E120" s="93">
        <v>20.701808986578488</v>
      </c>
      <c r="F120" s="96">
        <f t="shared" si="23"/>
        <v>101.5875470738148</v>
      </c>
      <c r="J120" s="70">
        <v>0.2162512</v>
      </c>
      <c r="K120" s="70">
        <f t="shared" si="42"/>
        <v>4.8851146079999998E-2</v>
      </c>
      <c r="L120" s="70">
        <v>7.1978200000000001</v>
      </c>
      <c r="M120" s="70">
        <v>48.563600000000001</v>
      </c>
      <c r="N120" s="71">
        <v>61.543990000000001</v>
      </c>
      <c r="O120" s="71">
        <f t="shared" si="27"/>
        <v>47.787795257248462</v>
      </c>
      <c r="T120" s="72"/>
      <c r="U120" s="73"/>
      <c r="V120" s="73"/>
      <c r="W120" s="72">
        <f t="shared" si="40"/>
        <v>374.7085220743835</v>
      </c>
      <c r="X120" s="72"/>
      <c r="Y120" s="72"/>
      <c r="Z120" s="72"/>
      <c r="AA120" s="72"/>
      <c r="AB120" s="72"/>
      <c r="AD120" s="74">
        <v>7.3</v>
      </c>
      <c r="AE120" s="97"/>
      <c r="AF120" s="97"/>
      <c r="AG120" s="97"/>
      <c r="AH120" s="96">
        <f t="shared" si="39"/>
        <v>0</v>
      </c>
      <c r="AS120" s="72"/>
      <c r="AT120" s="75"/>
      <c r="AU120" s="75"/>
      <c r="AV120" s="75"/>
      <c r="AW120" s="75"/>
      <c r="AX120" s="72"/>
      <c r="AY120" s="72"/>
      <c r="AZ120" s="72"/>
      <c r="BA120" s="72"/>
      <c r="BC120" s="74">
        <v>7.05</v>
      </c>
      <c r="BD120" s="93">
        <v>107.18078381795196</v>
      </c>
      <c r="BE120" s="93">
        <v>103.248265318123</v>
      </c>
      <c r="BF120" s="93">
        <v>15.344874538027625</v>
      </c>
      <c r="BG120" s="88">
        <f t="shared" si="25"/>
        <v>3.9325184998289586</v>
      </c>
      <c r="BK120" s="70">
        <v>0.33858290000000002</v>
      </c>
      <c r="BL120" s="70">
        <f t="shared" si="28"/>
        <v>7.6485877110000003E-2</v>
      </c>
      <c r="BM120" s="70">
        <v>19.321249999999999</v>
      </c>
      <c r="BN120" s="70">
        <v>3.9571999999999998</v>
      </c>
      <c r="BO120" s="71">
        <v>96.900450000000006</v>
      </c>
      <c r="BP120" s="71">
        <f t="shared" si="41"/>
        <v>75.241447051698174</v>
      </c>
      <c r="BU120" s="72"/>
      <c r="BV120" s="72"/>
      <c r="BW120" s="72"/>
      <c r="BX120" s="72">
        <f t="shared" si="50"/>
        <v>162.60220345819795</v>
      </c>
      <c r="BY120" s="72"/>
      <c r="BZ120" s="72"/>
      <c r="CA120" s="72"/>
      <c r="CB120" s="72"/>
      <c r="CD120" s="74">
        <v>7.26</v>
      </c>
      <c r="CE120" s="69"/>
      <c r="CF120" s="69"/>
      <c r="CG120" s="69"/>
      <c r="CH120" s="69">
        <f t="shared" si="43"/>
        <v>0</v>
      </c>
      <c r="CI120" s="76"/>
      <c r="CJ120" s="76"/>
      <c r="CK120" s="177"/>
      <c r="CL120" s="70"/>
      <c r="CM120" s="76"/>
      <c r="CN120" s="77"/>
      <c r="CO120" s="77"/>
      <c r="CP120" s="77"/>
      <c r="CQ120" s="77"/>
      <c r="CR120" s="77"/>
      <c r="CS120" s="66"/>
      <c r="CT120" s="66"/>
      <c r="CU120" s="66"/>
      <c r="CV120" s="66"/>
      <c r="CW120" s="66"/>
      <c r="CX120" s="66"/>
      <c r="CY120" s="66"/>
      <c r="CZ120" s="66"/>
      <c r="DA120" s="168"/>
      <c r="DB120" s="67">
        <v>7.01</v>
      </c>
      <c r="DC120" s="69">
        <v>25.691529709228824</v>
      </c>
      <c r="DD120" s="69">
        <v>6.1898153592849594</v>
      </c>
      <c r="DE120" s="69">
        <v>123.26784672242755</v>
      </c>
      <c r="DF120" s="69">
        <f t="shared" si="48"/>
        <v>19.501714349943864</v>
      </c>
      <c r="DG120" s="70"/>
      <c r="DH120" s="70"/>
      <c r="DI120" s="70"/>
      <c r="DJ120" s="177">
        <v>525.12750000000005</v>
      </c>
      <c r="DK120" s="177">
        <f t="shared" si="44"/>
        <v>118.62630225000001</v>
      </c>
      <c r="DL120" s="70">
        <v>4.0334399999999997</v>
      </c>
      <c r="DM120" s="70">
        <v>120.47799999999999</v>
      </c>
      <c r="DN120" s="71">
        <v>0.11781</v>
      </c>
      <c r="DO120" s="71">
        <f t="shared" si="45"/>
        <v>9.1477334492879661E-2</v>
      </c>
      <c r="DP120" s="180"/>
      <c r="DQ120" s="180"/>
      <c r="DR120" s="71"/>
      <c r="DS120" s="180"/>
      <c r="DT120" s="66"/>
      <c r="DU120" s="79"/>
      <c r="DV120" s="79">
        <f t="shared" si="49"/>
        <v>68.259046231203001</v>
      </c>
      <c r="DW120" s="119"/>
      <c r="DX120" s="79"/>
      <c r="DY120" s="136"/>
      <c r="DZ120" s="168"/>
      <c r="EA120" s="74">
        <v>7.23</v>
      </c>
      <c r="EB120" s="78">
        <f t="shared" si="32"/>
        <v>25.748817656332108</v>
      </c>
      <c r="EC120" s="78">
        <f t="shared" si="33"/>
        <v>-141.45214521452144</v>
      </c>
      <c r="ED120" s="78">
        <f t="shared" si="34"/>
        <v>25.876649002142276</v>
      </c>
      <c r="EE120" s="78">
        <f t="shared" si="35"/>
        <v>96.128936456186366</v>
      </c>
      <c r="EF120" s="79">
        <f t="shared" si="51"/>
        <v>56.605683116563931</v>
      </c>
      <c r="EG120" s="66"/>
      <c r="EH120" s="140"/>
      <c r="EI120" s="140"/>
      <c r="EJ120" s="141">
        <f t="shared" si="46"/>
        <v>80.803046326363543</v>
      </c>
      <c r="EK120" s="79">
        <f t="shared" si="52"/>
        <v>58.020835647069724</v>
      </c>
      <c r="EL120" s="66"/>
      <c r="EM120" s="66"/>
      <c r="EN120" s="66"/>
      <c r="EO120" s="66"/>
      <c r="EP120" s="79">
        <f t="shared" si="47"/>
        <v>81.783428395670995</v>
      </c>
    </row>
    <row r="121" spans="1:146" x14ac:dyDescent="0.3">
      <c r="A121" s="86">
        <v>44750</v>
      </c>
      <c r="B121" s="106">
        <f t="shared" si="29"/>
        <v>51</v>
      </c>
      <c r="C121" s="96">
        <v>215.34766118836916</v>
      </c>
      <c r="D121" s="93">
        <v>33.503469363753965</v>
      </c>
      <c r="E121" s="93">
        <v>20.732153277572461</v>
      </c>
      <c r="F121" s="96">
        <f t="shared" si="23"/>
        <v>181.84419182461519</v>
      </c>
      <c r="J121" s="70">
        <v>0.29973070000000002</v>
      </c>
      <c r="K121" s="70">
        <f t="shared" si="42"/>
        <v>6.7709165129999999E-2</v>
      </c>
      <c r="L121" s="70">
        <v>4.58948</v>
      </c>
      <c r="M121" s="70">
        <v>43.698700000000002</v>
      </c>
      <c r="N121" s="71">
        <v>53.238019999999999</v>
      </c>
      <c r="O121" s="71">
        <f t="shared" si="27"/>
        <v>41.338359759601197</v>
      </c>
      <c r="T121" s="72"/>
      <c r="U121" s="73"/>
      <c r="V121" s="73"/>
      <c r="W121" s="72">
        <f t="shared" si="40"/>
        <v>659.55540562392423</v>
      </c>
      <c r="X121" s="72"/>
      <c r="Y121" s="72"/>
      <c r="Z121" s="72"/>
      <c r="AA121" s="72"/>
      <c r="AB121" s="72"/>
      <c r="AD121" s="74">
        <v>6.96</v>
      </c>
      <c r="AE121" s="97"/>
      <c r="AF121" s="97"/>
      <c r="AG121" s="97"/>
      <c r="AH121" s="96">
        <f t="shared" si="39"/>
        <v>0</v>
      </c>
      <c r="AS121" s="72"/>
      <c r="AT121" s="75"/>
      <c r="AU121" s="75"/>
      <c r="AV121" s="75"/>
      <c r="AW121" s="75"/>
      <c r="AX121" s="72"/>
      <c r="AY121" s="72"/>
      <c r="AZ121" s="72"/>
      <c r="BA121" s="72"/>
      <c r="BB121" s="168">
        <v>473.9246</v>
      </c>
      <c r="BC121" s="74">
        <v>6.99</v>
      </c>
      <c r="BD121" s="93">
        <v>101.15044247787611</v>
      </c>
      <c r="BE121" s="93">
        <v>87.018699282606136</v>
      </c>
      <c r="BF121" s="93">
        <v>13.787978992413928</v>
      </c>
      <c r="BG121" s="88">
        <f t="shared" si="25"/>
        <v>14.131743195269976</v>
      </c>
      <c r="BK121" s="70">
        <v>0.24338129999999999</v>
      </c>
      <c r="BL121" s="70">
        <f t="shared" si="28"/>
        <v>5.4979835669999998E-2</v>
      </c>
      <c r="BM121" s="70">
        <v>15.958830000000001</v>
      </c>
      <c r="BN121" s="70">
        <v>3.2646000000000002</v>
      </c>
      <c r="BO121" s="71">
        <v>77.094660000000005</v>
      </c>
      <c r="BP121" s="71">
        <f t="shared" si="41"/>
        <v>59.862609289829642</v>
      </c>
      <c r="BU121" s="72"/>
      <c r="BV121" s="72"/>
      <c r="BW121" s="72"/>
      <c r="BX121" s="72">
        <f t="shared" si="50"/>
        <v>195.52020116273385</v>
      </c>
      <c r="BY121" s="72"/>
      <c r="BZ121" s="72"/>
      <c r="CA121" s="72"/>
      <c r="CB121" s="72"/>
      <c r="CD121" s="74">
        <v>7.33</v>
      </c>
      <c r="CE121" s="69"/>
      <c r="CF121" s="69"/>
      <c r="CG121" s="69"/>
      <c r="CH121" s="69">
        <f t="shared" si="43"/>
        <v>0</v>
      </c>
      <c r="CI121" s="76"/>
      <c r="CJ121" s="76"/>
      <c r="CK121" s="177"/>
      <c r="CL121" s="70"/>
      <c r="CM121" s="76"/>
      <c r="CN121" s="77"/>
      <c r="CO121" s="77"/>
      <c r="CP121" s="77"/>
      <c r="CQ121" s="77"/>
      <c r="CR121" s="77"/>
      <c r="CS121" s="66"/>
      <c r="CT121" s="66"/>
      <c r="CU121" s="66"/>
      <c r="CV121" s="66"/>
      <c r="CW121" s="66"/>
      <c r="CX121" s="66"/>
      <c r="CY121" s="66"/>
      <c r="CZ121" s="66"/>
      <c r="DA121" s="168">
        <v>90.569950000000006</v>
      </c>
      <c r="DB121" s="67">
        <v>6.98</v>
      </c>
      <c r="DC121" s="69">
        <v>22.774968394437423</v>
      </c>
      <c r="DD121" s="69">
        <v>5.190638598141831</v>
      </c>
      <c r="DE121" s="69">
        <v>120.84030344290994</v>
      </c>
      <c r="DF121" s="69">
        <f t="shared" si="48"/>
        <v>17.584329796295592</v>
      </c>
      <c r="DG121" s="70"/>
      <c r="DH121" s="70"/>
      <c r="DI121" s="70"/>
      <c r="DJ121" s="177">
        <v>526.33950000000004</v>
      </c>
      <c r="DK121" s="177">
        <f t="shared" si="44"/>
        <v>118.90009305000001</v>
      </c>
      <c r="DL121" s="70">
        <v>8.7933900000000005</v>
      </c>
      <c r="DM121" s="70">
        <v>90.288600000000002</v>
      </c>
      <c r="DN121" s="71">
        <v>0.20093</v>
      </c>
      <c r="DO121" s="71">
        <f t="shared" si="45"/>
        <v>0.15601851132887115</v>
      </c>
      <c r="DP121" s="180"/>
      <c r="DQ121" s="180"/>
      <c r="DR121" s="71"/>
      <c r="DS121" s="180"/>
      <c r="DT121" s="66"/>
      <c r="DU121" s="79"/>
      <c r="DV121" s="79">
        <f t="shared" si="49"/>
        <v>59.651331754509805</v>
      </c>
      <c r="DW121" s="119"/>
      <c r="DX121" s="79"/>
      <c r="DY121" s="136"/>
      <c r="DZ121" s="168"/>
      <c r="EA121" s="74">
        <v>6.9</v>
      </c>
      <c r="EB121" s="78">
        <f t="shared" si="32"/>
        <v>53.029235646354344</v>
      </c>
      <c r="EC121" s="78">
        <f t="shared" si="33"/>
        <v>-159.73041280539178</v>
      </c>
      <c r="ED121" s="78">
        <f t="shared" si="34"/>
        <v>33.494708399009241</v>
      </c>
      <c r="EE121" s="78">
        <f t="shared" si="35"/>
        <v>92.228652972925445</v>
      </c>
      <c r="EF121" s="79">
        <f t="shared" si="51"/>
        <v>70.355757909712494</v>
      </c>
      <c r="EG121" s="66"/>
      <c r="EH121" s="140"/>
      <c r="EI121" s="140"/>
      <c r="EJ121" s="141">
        <f t="shared" si="46"/>
        <v>90.330001953950074</v>
      </c>
      <c r="EK121" s="79">
        <f t="shared" si="52"/>
        <v>69.490962366154037</v>
      </c>
      <c r="EL121" s="66"/>
      <c r="EM121" s="66"/>
      <c r="EN121" s="66"/>
      <c r="EO121" s="66"/>
      <c r="EP121" s="79">
        <f t="shared" si="47"/>
        <v>90.955827024405778</v>
      </c>
    </row>
    <row r="122" spans="1:146" x14ac:dyDescent="0.3">
      <c r="A122" s="86">
        <v>44753</v>
      </c>
      <c r="B122" s="106">
        <f t="shared" si="29"/>
        <v>54</v>
      </c>
      <c r="C122" s="96">
        <v>103.6080467229072</v>
      </c>
      <c r="D122" s="93">
        <v>53.65796558585977</v>
      </c>
      <c r="E122" s="93">
        <v>12.972235383303325</v>
      </c>
      <c r="F122" s="96">
        <f t="shared" si="23"/>
        <v>49.950081137047434</v>
      </c>
      <c r="J122" s="70">
        <v>0.33460499999999999</v>
      </c>
      <c r="K122" s="70">
        <f t="shared" si="42"/>
        <v>7.5587269499999998E-2</v>
      </c>
      <c r="L122" s="70">
        <v>8.00563</v>
      </c>
      <c r="M122" s="70">
        <v>38.743299999999998</v>
      </c>
      <c r="N122" s="71">
        <v>57.19388</v>
      </c>
      <c r="O122" s="71">
        <f t="shared" si="27"/>
        <v>44.410013510785333</v>
      </c>
      <c r="T122" s="72"/>
      <c r="U122" s="73"/>
      <c r="V122" s="73"/>
      <c r="W122" s="72">
        <f t="shared" si="40"/>
        <v>191.43682797160875</v>
      </c>
      <c r="X122" s="72"/>
      <c r="Y122" s="72"/>
      <c r="Z122" s="72"/>
      <c r="AA122" s="72"/>
      <c r="AB122" s="72"/>
      <c r="AD122" s="74">
        <v>7.43</v>
      </c>
      <c r="AE122" s="97"/>
      <c r="AF122" s="97"/>
      <c r="AG122" s="97"/>
      <c r="AH122" s="96">
        <f t="shared" si="39"/>
        <v>0</v>
      </c>
      <c r="AS122" s="72"/>
      <c r="AT122" s="75"/>
      <c r="AU122" s="75"/>
      <c r="AV122" s="75"/>
      <c r="AW122" s="75"/>
      <c r="AX122" s="72"/>
      <c r="AY122" s="72"/>
      <c r="AZ122" s="72"/>
      <c r="BA122" s="72"/>
      <c r="BB122" s="168">
        <v>362.64530000000002</v>
      </c>
      <c r="BC122" s="74">
        <v>7.01</v>
      </c>
      <c r="BD122" s="93">
        <v>98.50746268656718</v>
      </c>
      <c r="BE122" s="93">
        <v>103.91665691209177</v>
      </c>
      <c r="BF122" s="93">
        <v>13.829621908462052</v>
      </c>
      <c r="BG122" s="88">
        <f t="shared" si="25"/>
        <v>-5.4091942255245868</v>
      </c>
      <c r="BK122" s="70">
        <v>0.17778430000000001</v>
      </c>
      <c r="BL122" s="70">
        <f t="shared" si="28"/>
        <v>4.0161473369999999E-2</v>
      </c>
      <c r="BM122" s="70">
        <v>19.39096</v>
      </c>
      <c r="BN122" s="70">
        <v>3.6040999999999999</v>
      </c>
      <c r="BO122" s="71">
        <v>70.579170000000005</v>
      </c>
      <c r="BP122" s="71">
        <f t="shared" si="41"/>
        <v>54.803449132669705</v>
      </c>
      <c r="BU122" s="72"/>
      <c r="BV122" s="72"/>
      <c r="BW122" s="72"/>
      <c r="BX122" s="72">
        <f t="shared" si="50"/>
        <v>132.45182563711938</v>
      </c>
      <c r="BY122" s="72"/>
      <c r="BZ122" s="72"/>
      <c r="CA122" s="72"/>
      <c r="CB122" s="72"/>
      <c r="CD122" s="74">
        <v>7.14</v>
      </c>
      <c r="CE122" s="69">
        <v>36.891628812459437</v>
      </c>
      <c r="CF122" s="69">
        <v>14.836006086854734</v>
      </c>
      <c r="CG122" s="69">
        <v>83.942007012224011</v>
      </c>
      <c r="CH122" s="69">
        <f t="shared" si="43"/>
        <v>22.055622725604703</v>
      </c>
      <c r="CI122" s="76"/>
      <c r="CJ122" s="76"/>
      <c r="CK122" s="177"/>
      <c r="CL122" s="70"/>
      <c r="CM122" s="76"/>
      <c r="CN122" s="77"/>
      <c r="CO122" s="77"/>
      <c r="CP122" s="77"/>
      <c r="CQ122" s="77"/>
      <c r="CR122" s="77"/>
      <c r="CS122" s="66"/>
      <c r="CT122" s="66"/>
      <c r="CU122" s="66"/>
      <c r="CV122" s="66"/>
      <c r="CW122" s="66"/>
      <c r="CX122" s="66"/>
      <c r="CY122" s="66"/>
      <c r="CZ122" s="66"/>
      <c r="DA122" s="168">
        <v>55.332590000000003</v>
      </c>
      <c r="DB122" s="67">
        <v>6.85</v>
      </c>
      <c r="DC122" s="69">
        <v>18.443867618429593</v>
      </c>
      <c r="DD122" s="69">
        <v>3.5903078543837057</v>
      </c>
      <c r="DE122" s="69">
        <v>94.972045863735431</v>
      </c>
      <c r="DF122" s="69">
        <f t="shared" si="48"/>
        <v>14.853559764045887</v>
      </c>
      <c r="DG122" s="70"/>
      <c r="DH122" s="70"/>
      <c r="DI122" s="70"/>
      <c r="DJ122" s="177">
        <v>388.2654</v>
      </c>
      <c r="DK122" s="177">
        <f t="shared" si="44"/>
        <v>87.709153860000001</v>
      </c>
      <c r="DL122" s="70">
        <v>18.326799999999999</v>
      </c>
      <c r="DM122" s="70">
        <v>39.600900000000003</v>
      </c>
      <c r="DN122" s="71">
        <v>0.24485000000000001</v>
      </c>
      <c r="DO122" s="71">
        <f t="shared" si="45"/>
        <v>0.1901215970680043</v>
      </c>
      <c r="DP122" s="180"/>
      <c r="DQ122" s="180"/>
      <c r="DR122" s="71"/>
      <c r="DS122" s="180"/>
      <c r="DT122" s="66"/>
      <c r="DU122" s="79"/>
      <c r="DV122" s="79">
        <f t="shared" si="49"/>
        <v>47.392085848731206</v>
      </c>
      <c r="DW122" s="119"/>
      <c r="DX122" s="79"/>
      <c r="DY122" s="136"/>
      <c r="DZ122" s="168"/>
      <c r="EA122" s="74">
        <v>6.75</v>
      </c>
      <c r="EB122" s="78">
        <f t="shared" si="32"/>
        <v>4.9229612927470727</v>
      </c>
      <c r="EC122" s="78">
        <f t="shared" si="33"/>
        <v>-93.664921465968575</v>
      </c>
      <c r="ED122" s="78">
        <f t="shared" si="34"/>
        <v>-6.6093969144460392</v>
      </c>
      <c r="EE122" s="78">
        <f t="shared" si="35"/>
        <v>110.8292000781409</v>
      </c>
      <c r="EF122" s="79">
        <f t="shared" si="51"/>
        <v>30.811731974182731</v>
      </c>
      <c r="EG122" s="66"/>
      <c r="EH122" s="140"/>
      <c r="EI122" s="140"/>
      <c r="EJ122" s="141">
        <f t="shared" si="46"/>
        <v>70.263191918963358</v>
      </c>
      <c r="EK122" s="79">
        <f t="shared" si="52"/>
        <v>64.219378917001762</v>
      </c>
      <c r="EL122" s="66"/>
      <c r="EM122" s="66"/>
      <c r="EN122" s="66"/>
      <c r="EO122" s="66"/>
      <c r="EP122" s="79">
        <f t="shared" si="47"/>
        <v>75.244007983793111</v>
      </c>
    </row>
    <row r="123" spans="1:146" x14ac:dyDescent="0.3">
      <c r="A123" s="86">
        <v>44755</v>
      </c>
      <c r="B123" s="106">
        <f t="shared" si="29"/>
        <v>56</v>
      </c>
      <c r="C123" s="96">
        <v>160.96985583224114</v>
      </c>
      <c r="D123" s="93">
        <v>63.542966874699957</v>
      </c>
      <c r="E123" s="93">
        <v>22.826963702707893</v>
      </c>
      <c r="F123" s="96">
        <f t="shared" si="23"/>
        <v>97.426888957541181</v>
      </c>
      <c r="J123" s="70">
        <v>0.26015700000000003</v>
      </c>
      <c r="K123" s="70">
        <f t="shared" si="42"/>
        <v>5.8769466300000003E-2</v>
      </c>
      <c r="L123" s="70">
        <v>7.2535800000000004</v>
      </c>
      <c r="N123" s="71">
        <v>174.41200000000001</v>
      </c>
      <c r="O123" s="71">
        <f t="shared" si="27"/>
        <v>135.42776388737906</v>
      </c>
      <c r="T123" s="72"/>
      <c r="U123" s="73"/>
      <c r="V123" s="73"/>
      <c r="W123" s="72">
        <f t="shared" si="40"/>
        <v>359.94151428810517</v>
      </c>
      <c r="X123" s="72"/>
      <c r="Y123" s="72"/>
      <c r="Z123" s="72"/>
      <c r="AA123" s="72"/>
      <c r="AB123" s="72"/>
      <c r="AD123" s="74">
        <v>7.46</v>
      </c>
      <c r="AE123" s="97"/>
      <c r="AF123" s="97"/>
      <c r="AG123" s="97"/>
      <c r="AH123" s="96">
        <f t="shared" si="39"/>
        <v>0</v>
      </c>
      <c r="AS123" s="72"/>
      <c r="AT123" s="75"/>
      <c r="AU123" s="75"/>
      <c r="AV123" s="75"/>
      <c r="AW123" s="75"/>
      <c r="AX123" s="72"/>
      <c r="AY123" s="72"/>
      <c r="AZ123" s="72"/>
      <c r="BA123" s="72"/>
      <c r="BB123" s="168">
        <v>390.07139999999998</v>
      </c>
      <c r="BC123" s="74">
        <v>6.84</v>
      </c>
      <c r="BD123" s="93">
        <v>90.747051114023577</v>
      </c>
      <c r="BE123" s="93">
        <v>102.74603936629862</v>
      </c>
      <c r="BF123" s="93">
        <v>12.585365853658539</v>
      </c>
      <c r="BG123" s="88">
        <f t="shared" si="25"/>
        <v>-11.998988252275041</v>
      </c>
      <c r="BK123" s="70">
        <v>0.27872150000000001</v>
      </c>
      <c r="BL123" s="70">
        <f t="shared" si="28"/>
        <v>6.2963186850000005E-2</v>
      </c>
      <c r="BM123" s="70">
        <v>19.398579999999999</v>
      </c>
      <c r="BN123" s="70">
        <v>4.0190999999999999</v>
      </c>
      <c r="BO123" s="71">
        <v>74.457239999999999</v>
      </c>
      <c r="BP123" s="71">
        <f t="shared" si="41"/>
        <v>57.814700355628716</v>
      </c>
      <c r="BU123" s="72"/>
      <c r="BV123" s="72"/>
      <c r="BW123" s="72"/>
      <c r="BX123" s="72">
        <f t="shared" si="50"/>
        <v>111.1832654157823</v>
      </c>
      <c r="BY123" s="72"/>
      <c r="BZ123" s="72"/>
      <c r="CA123" s="72"/>
      <c r="CB123" s="72"/>
      <c r="CD123" s="74">
        <v>6.82</v>
      </c>
      <c r="CE123" s="69"/>
      <c r="CF123" s="69"/>
      <c r="CG123" s="69"/>
      <c r="CH123" s="69">
        <f t="shared" si="43"/>
        <v>0</v>
      </c>
      <c r="CI123" s="76"/>
      <c r="CJ123" s="76"/>
      <c r="CK123" s="177"/>
      <c r="CL123" s="70"/>
      <c r="CM123" s="76"/>
      <c r="CN123" s="77"/>
      <c r="CO123" s="77"/>
      <c r="CP123" s="77"/>
      <c r="CQ123" s="77"/>
      <c r="CR123" s="77"/>
      <c r="CS123" s="66"/>
      <c r="CT123" s="66"/>
      <c r="CU123" s="66"/>
      <c r="CV123" s="66"/>
      <c r="CW123" s="66"/>
      <c r="CX123" s="66"/>
      <c r="CY123" s="66"/>
      <c r="CZ123" s="66"/>
      <c r="DA123" s="168">
        <v>31.16086</v>
      </c>
      <c r="DB123" s="67">
        <v>6.61</v>
      </c>
      <c r="DC123" s="69">
        <v>15.216251638269984</v>
      </c>
      <c r="DD123" s="69">
        <v>2.7518002880460877</v>
      </c>
      <c r="DE123" s="69">
        <v>82.896101401958902</v>
      </c>
      <c r="DF123" s="69">
        <f t="shared" si="48"/>
        <v>12.464451350223896</v>
      </c>
      <c r="DG123" s="70"/>
      <c r="DH123" s="70"/>
      <c r="DI123" s="70"/>
      <c r="DJ123" s="177">
        <v>353.06979999999999</v>
      </c>
      <c r="DK123" s="177">
        <f t="shared" si="44"/>
        <v>79.758467819999993</v>
      </c>
      <c r="DL123" s="70">
        <v>19.983170000000001</v>
      </c>
      <c r="DM123" s="70">
        <v>33.985300000000002</v>
      </c>
      <c r="DN123" s="71">
        <v>0.61812</v>
      </c>
      <c r="DO123" s="71">
        <f t="shared" si="45"/>
        <v>0.47995900175484912</v>
      </c>
      <c r="DP123" s="180"/>
      <c r="DQ123" s="180"/>
      <c r="DR123" s="71"/>
      <c r="DS123" s="180"/>
      <c r="DT123" s="66"/>
      <c r="DU123" s="79"/>
      <c r="DV123" s="79">
        <f t="shared" si="49"/>
        <v>36.666661446560141</v>
      </c>
      <c r="DW123" s="119"/>
      <c r="DX123" s="79"/>
      <c r="DY123" s="136"/>
      <c r="DZ123" s="168"/>
      <c r="EA123" s="74">
        <v>6.63</v>
      </c>
      <c r="EB123" s="78">
        <f t="shared" si="32"/>
        <v>43.624816805080606</v>
      </c>
      <c r="EC123" s="78">
        <f t="shared" si="33"/>
        <v>-61.695376246600183</v>
      </c>
      <c r="ED123" s="78">
        <f t="shared" si="34"/>
        <v>44.866229177183229</v>
      </c>
      <c r="EE123" s="78">
        <f t="shared" si="35"/>
        <v>112.31588977197478</v>
      </c>
      <c r="EF123" s="79">
        <f t="shared" si="51"/>
        <v>69.110741328162334</v>
      </c>
      <c r="EG123" s="66"/>
      <c r="EH123" s="140"/>
      <c r="EI123" s="140"/>
      <c r="EJ123" s="141">
        <f t="shared" si="46"/>
        <v>87.206353930016263</v>
      </c>
      <c r="EK123" s="79">
        <f t="shared" si="52"/>
        <v>67.02142061627616</v>
      </c>
      <c r="EL123" s="66"/>
      <c r="EM123" s="66"/>
      <c r="EN123" s="66"/>
      <c r="EO123" s="66"/>
      <c r="EP123" s="79">
        <f t="shared" si="47"/>
        <v>89.813161307864206</v>
      </c>
    </row>
    <row r="124" spans="1:146" x14ac:dyDescent="0.3">
      <c r="A124" s="86">
        <v>44757</v>
      </c>
      <c r="B124" s="106">
        <f t="shared" si="29"/>
        <v>58</v>
      </c>
      <c r="C124" s="96">
        <v>151.17955439056357</v>
      </c>
      <c r="D124" s="93">
        <v>51.128180508881428</v>
      </c>
      <c r="E124" s="93">
        <v>16.811983867870172</v>
      </c>
      <c r="F124" s="96">
        <f t="shared" si="23"/>
        <v>100.05137388168214</v>
      </c>
      <c r="J124" s="70">
        <v>0.19958799999999999</v>
      </c>
      <c r="K124" s="70">
        <f t="shared" si="42"/>
        <v>4.5086929199999994E-2</v>
      </c>
      <c r="L124" s="70">
        <v>9.2307199999999998</v>
      </c>
      <c r="M124" s="70">
        <v>64.465699999999998</v>
      </c>
      <c r="N124" s="71">
        <v>64.200140000000005</v>
      </c>
      <c r="O124" s="71">
        <f t="shared" si="27"/>
        <v>49.85024769773112</v>
      </c>
      <c r="T124" s="72"/>
      <c r="U124" s="73"/>
      <c r="V124" s="73"/>
      <c r="W124" s="72">
        <f t="shared" si="40"/>
        <v>369.25633618086624</v>
      </c>
      <c r="X124" s="72"/>
      <c r="Y124" s="72"/>
      <c r="Z124" s="72"/>
      <c r="AA124" s="72"/>
      <c r="AB124" s="72"/>
      <c r="AC124" s="168">
        <v>245.2175</v>
      </c>
      <c r="AD124" s="74">
        <v>7.18</v>
      </c>
      <c r="AE124" s="97"/>
      <c r="AF124" s="97"/>
      <c r="AG124" s="97"/>
      <c r="AH124" s="96">
        <f t="shared" si="39"/>
        <v>0</v>
      </c>
      <c r="AS124" s="72"/>
      <c r="AT124" s="75"/>
      <c r="AU124" s="75"/>
      <c r="AV124" s="75"/>
      <c r="AW124" s="75"/>
      <c r="AX124" s="72"/>
      <c r="AY124" s="72"/>
      <c r="AZ124" s="72"/>
      <c r="BA124" s="72"/>
      <c r="BB124" s="168">
        <v>401.73309999999998</v>
      </c>
      <c r="BC124" s="74">
        <v>6.85</v>
      </c>
      <c r="BD124" s="93">
        <v>110.36697247706422</v>
      </c>
      <c r="BE124" s="93">
        <v>107.2683629380701</v>
      </c>
      <c r="BF124" s="93">
        <v>12.624543883234105</v>
      </c>
      <c r="BG124" s="88">
        <f t="shared" si="25"/>
        <v>3.0986095389941255</v>
      </c>
      <c r="BM124" s="70">
        <v>20.03979</v>
      </c>
      <c r="BN124" s="70">
        <v>1.9923</v>
      </c>
      <c r="BO124" s="71">
        <v>79.609589999999997</v>
      </c>
      <c r="BP124" s="71">
        <f t="shared" si="41"/>
        <v>61.815406954172033</v>
      </c>
      <c r="BU124" s="72"/>
      <c r="BV124" s="72"/>
      <c r="BW124" s="72"/>
      <c r="BX124" s="72">
        <f t="shared" si="50"/>
        <v>159.91076228710352</v>
      </c>
      <c r="BY124" s="72"/>
      <c r="BZ124" s="72"/>
      <c r="CA124" s="72"/>
      <c r="CB124" s="72"/>
      <c r="CC124" s="168">
        <v>396.91120000000001</v>
      </c>
      <c r="CD124" s="74">
        <v>6.81</v>
      </c>
      <c r="CE124" s="69"/>
      <c r="CF124" s="69"/>
      <c r="CG124" s="69"/>
      <c r="CH124" s="69">
        <f t="shared" si="43"/>
        <v>0</v>
      </c>
      <c r="CI124" s="76"/>
      <c r="CJ124" s="76"/>
      <c r="CK124" s="177"/>
      <c r="CL124" s="70"/>
      <c r="CM124" s="76"/>
      <c r="CN124" s="77"/>
      <c r="CO124" s="77"/>
      <c r="CP124" s="77"/>
      <c r="CQ124" s="77"/>
      <c r="CR124" s="77"/>
      <c r="CS124" s="66"/>
      <c r="CT124" s="66"/>
      <c r="CU124" s="66"/>
      <c r="CV124" s="66"/>
      <c r="CW124" s="66"/>
      <c r="CX124" s="66"/>
      <c r="CY124" s="66"/>
      <c r="CZ124" s="66"/>
      <c r="DA124" s="168">
        <v>25.689969999999999</v>
      </c>
      <c r="DB124" s="67">
        <v>6.64</v>
      </c>
      <c r="DC124" s="69">
        <v>16.304062909567495</v>
      </c>
      <c r="DD124" s="69">
        <v>2.0854536725876143</v>
      </c>
      <c r="DE124" s="69">
        <v>84.555406183983095</v>
      </c>
      <c r="DF124" s="69">
        <f t="shared" si="48"/>
        <v>14.21860923697988</v>
      </c>
      <c r="DG124" s="70"/>
      <c r="DH124" s="70"/>
      <c r="DI124" s="70"/>
      <c r="DJ124" s="177">
        <v>354.79219999999998</v>
      </c>
      <c r="DK124" s="177">
        <f t="shared" si="44"/>
        <v>80.147557979999988</v>
      </c>
      <c r="DL124" s="70">
        <v>18.408709999999999</v>
      </c>
      <c r="DM124" s="70">
        <v>48.625</v>
      </c>
      <c r="DN124" s="71">
        <v>0.21842</v>
      </c>
      <c r="DO124" s="71">
        <f t="shared" si="45"/>
        <v>0.169599180035097</v>
      </c>
      <c r="DP124" s="180"/>
      <c r="DQ124" s="180"/>
      <c r="DR124" s="71"/>
      <c r="DS124" s="180"/>
      <c r="DT124" s="66"/>
      <c r="DU124" s="79"/>
      <c r="DV124" s="79">
        <f t="shared" si="49"/>
        <v>44.54160244757378</v>
      </c>
      <c r="DW124" s="119"/>
      <c r="DX124" s="79"/>
      <c r="DY124" s="136"/>
      <c r="DZ124" s="168">
        <v>12.979559999999999</v>
      </c>
      <c r="EA124" s="74">
        <v>6.66</v>
      </c>
      <c r="EB124" s="78">
        <f t="shared" si="32"/>
        <v>26.996098829648897</v>
      </c>
      <c r="EC124" s="78">
        <f t="shared" si="33"/>
        <v>-109.80281690140843</v>
      </c>
      <c r="ED124" s="78">
        <f t="shared" si="34"/>
        <v>24.907470870459221</v>
      </c>
      <c r="EE124" s="78">
        <f t="shared" si="35"/>
        <v>96.902981519615665</v>
      </c>
      <c r="EF124" s="79">
        <f t="shared" si="51"/>
        <v>56.69383389841758</v>
      </c>
      <c r="EG124" s="66"/>
      <c r="EH124" s="66"/>
      <c r="EI124" s="66"/>
      <c r="EJ124" s="79">
        <f t="shared" si="46"/>
        <v>85.788691663750257</v>
      </c>
      <c r="EK124" s="79">
        <f t="shared" si="52"/>
        <v>72.145963279442157</v>
      </c>
      <c r="EL124" s="66"/>
      <c r="EM124" s="66"/>
      <c r="EN124" s="66"/>
      <c r="EO124" s="66"/>
      <c r="EP124" s="79">
        <f t="shared" si="47"/>
        <v>87.937484591799461</v>
      </c>
    </row>
    <row r="125" spans="1:146" x14ac:dyDescent="0.3">
      <c r="A125" s="86">
        <v>44762</v>
      </c>
      <c r="B125" s="106">
        <f t="shared" si="29"/>
        <v>63</v>
      </c>
      <c r="C125" s="96">
        <v>332.51282051282044</v>
      </c>
      <c r="D125" s="93">
        <v>45.874060150375939</v>
      </c>
      <c r="E125" s="93">
        <v>13.938184284468559</v>
      </c>
      <c r="F125" s="96">
        <f t="shared" si="23"/>
        <v>286.63876036244449</v>
      </c>
      <c r="J125" s="70">
        <v>0.38700000000000001</v>
      </c>
      <c r="K125" s="70">
        <f t="shared" si="42"/>
        <v>8.7423299999999995E-2</v>
      </c>
      <c r="L125" s="70">
        <v>7.5153999999999996</v>
      </c>
      <c r="M125" s="70">
        <v>40.473500000000001</v>
      </c>
      <c r="T125" s="72"/>
      <c r="U125" s="73"/>
      <c r="V125" s="73"/>
      <c r="W125" s="72">
        <f t="shared" si="40"/>
        <v>1031.4922882783881</v>
      </c>
      <c r="X125" s="72"/>
      <c r="Y125" s="72"/>
      <c r="Z125" s="72"/>
      <c r="AA125" s="72"/>
      <c r="AB125" s="72"/>
      <c r="AD125" s="74">
        <v>6.9</v>
      </c>
      <c r="AE125" s="97"/>
      <c r="AF125" s="97"/>
      <c r="AG125" s="97"/>
      <c r="AH125" s="96">
        <f t="shared" si="39"/>
        <v>0</v>
      </c>
      <c r="AS125" s="72"/>
      <c r="AT125" s="75"/>
      <c r="AU125" s="75"/>
      <c r="AV125" s="75"/>
      <c r="AW125" s="75"/>
      <c r="AX125" s="72"/>
      <c r="AY125" s="72"/>
      <c r="AZ125" s="72"/>
      <c r="BA125" s="72"/>
      <c r="BC125" s="74">
        <v>6.83</v>
      </c>
      <c r="BD125" s="93">
        <v>106.74871794871794</v>
      </c>
      <c r="BE125" s="93">
        <v>106.46616541353383</v>
      </c>
      <c r="BF125" s="93">
        <v>14.956690243193487</v>
      </c>
      <c r="BG125" s="88">
        <f t="shared" si="25"/>
        <v>0.28255253518410939</v>
      </c>
      <c r="BK125" s="70">
        <v>0.1828198</v>
      </c>
      <c r="BL125" s="70">
        <f t="shared" si="28"/>
        <v>4.1298992819999998E-2</v>
      </c>
      <c r="BM125" s="70">
        <v>22.373799999999999</v>
      </c>
      <c r="BN125" s="70">
        <v>4.2827000000000002</v>
      </c>
      <c r="BU125" s="72"/>
      <c r="BV125" s="72"/>
      <c r="BW125" s="72"/>
      <c r="BX125" s="72">
        <f t="shared" si="50"/>
        <v>150.82193830730671</v>
      </c>
      <c r="BY125" s="72"/>
      <c r="BZ125" s="72"/>
      <c r="CA125" s="72"/>
      <c r="CB125" s="72"/>
      <c r="CD125" s="74">
        <v>6.85</v>
      </c>
      <c r="CE125" s="69"/>
      <c r="CF125" s="69"/>
      <c r="CG125" s="69"/>
      <c r="CH125" s="69">
        <f t="shared" si="43"/>
        <v>0</v>
      </c>
      <c r="CI125" s="76"/>
      <c r="CJ125" s="76"/>
      <c r="CK125" s="177"/>
      <c r="CL125" s="70"/>
      <c r="CM125" s="76"/>
      <c r="CN125" s="77"/>
      <c r="CO125" s="77"/>
      <c r="CP125" s="77"/>
      <c r="CQ125" s="77"/>
      <c r="CR125" s="77"/>
      <c r="CS125" s="66"/>
      <c r="CT125" s="66"/>
      <c r="CU125" s="66"/>
      <c r="CV125" s="66"/>
      <c r="CW125" s="66"/>
      <c r="CX125" s="66"/>
      <c r="CY125" s="66"/>
      <c r="CZ125" s="66"/>
      <c r="DA125" s="168"/>
      <c r="DB125" s="67">
        <v>6.95</v>
      </c>
      <c r="DC125" s="69">
        <v>20.444444444444443</v>
      </c>
      <c r="DD125" s="69">
        <v>7.246240601503759</v>
      </c>
      <c r="DE125" s="69">
        <v>90.712140296482886</v>
      </c>
      <c r="DF125" s="69">
        <f t="shared" si="48"/>
        <v>13.198203842940684</v>
      </c>
      <c r="DG125" s="70"/>
      <c r="DH125" s="70"/>
      <c r="DI125" s="70"/>
      <c r="DJ125" s="177"/>
      <c r="DK125" s="177"/>
      <c r="DL125" s="70">
        <v>27.832899999999999</v>
      </c>
      <c r="DM125" s="70">
        <v>63.879300000000001</v>
      </c>
      <c r="DN125" s="71"/>
      <c r="DO125" s="71"/>
      <c r="DP125" s="180"/>
      <c r="DQ125" s="180"/>
      <c r="DR125" s="71"/>
      <c r="DS125" s="180"/>
      <c r="DT125" s="66"/>
      <c r="DU125" s="79"/>
      <c r="DV125" s="79">
        <f t="shared" si="49"/>
        <v>39.960696512113614</v>
      </c>
      <c r="DW125" s="119"/>
      <c r="DX125" s="79"/>
      <c r="DY125" s="136"/>
      <c r="DZ125" s="168"/>
      <c r="EA125" s="74">
        <v>6.98</v>
      </c>
      <c r="EB125" s="78">
        <f t="shared" si="32"/>
        <v>67.896360271437388</v>
      </c>
      <c r="EC125" s="78">
        <f t="shared" si="33"/>
        <v>-132.08358942839581</v>
      </c>
      <c r="ED125" s="78">
        <f t="shared" si="34"/>
        <v>-7.3073073073072949</v>
      </c>
      <c r="EE125" s="78">
        <f t="shared" si="35"/>
        <v>99.901425566163198</v>
      </c>
      <c r="EF125" s="79">
        <f t="shared" si="51"/>
        <v>85.378277664195039</v>
      </c>
      <c r="EG125" s="66"/>
      <c r="EH125" s="66"/>
      <c r="EI125" s="66"/>
      <c r="EJ125" s="79">
        <f t="shared" si="46"/>
        <v>95.395527169370936</v>
      </c>
      <c r="EK125" s="79">
        <f t="shared" si="52"/>
        <v>73.504718901906813</v>
      </c>
      <c r="EL125" s="66"/>
      <c r="EM125" s="66"/>
      <c r="EN125" s="66"/>
      <c r="EO125" s="66"/>
      <c r="EP125" s="79">
        <f t="shared" si="47"/>
        <v>96.125933565745797</v>
      </c>
    </row>
    <row r="126" spans="1:146" x14ac:dyDescent="0.3">
      <c r="A126" s="86">
        <v>44764</v>
      </c>
      <c r="B126" s="106">
        <f t="shared" si="29"/>
        <v>65</v>
      </c>
      <c r="C126" s="96">
        <v>207.04564666103127</v>
      </c>
      <c r="D126" s="93">
        <v>41.52473888846535</v>
      </c>
      <c r="E126" s="93">
        <v>18.986649550706034</v>
      </c>
      <c r="F126" s="96">
        <f t="shared" si="23"/>
        <v>165.52090777256592</v>
      </c>
      <c r="G126" s="70">
        <v>38.951599999999999</v>
      </c>
      <c r="L126" s="70">
        <v>1.5773999999999999</v>
      </c>
      <c r="M126" s="70">
        <v>14.006500000000001</v>
      </c>
      <c r="T126" s="72"/>
      <c r="U126" s="73"/>
      <c r="V126" s="73"/>
      <c r="W126" s="72">
        <f t="shared" si="40"/>
        <v>601.62080586639092</v>
      </c>
      <c r="X126" s="72"/>
      <c r="Y126" s="72"/>
      <c r="Z126" s="72"/>
      <c r="AA126" s="72"/>
      <c r="AB126" s="72"/>
      <c r="AD126" s="74">
        <v>6.47</v>
      </c>
      <c r="AE126" s="97"/>
      <c r="AF126" s="97"/>
      <c r="AG126" s="97"/>
      <c r="AH126" s="96">
        <f t="shared" si="39"/>
        <v>0</v>
      </c>
      <c r="AS126" s="72"/>
      <c r="AT126" s="75"/>
      <c r="AU126" s="75"/>
      <c r="AV126" s="75"/>
      <c r="AW126" s="75"/>
      <c r="AX126" s="72"/>
      <c r="AY126" s="72"/>
      <c r="AZ126" s="72"/>
      <c r="BA126" s="72"/>
      <c r="BC126" s="74">
        <v>7.11</v>
      </c>
      <c r="BD126" s="93">
        <v>100.11834319526629</v>
      </c>
      <c r="BE126" s="93">
        <v>104.73126477090796</v>
      </c>
      <c r="BF126" s="93">
        <v>15.490629011553272</v>
      </c>
      <c r="BG126" s="88">
        <f t="shared" si="25"/>
        <v>-4.6129215756416642</v>
      </c>
      <c r="BH126" s="70">
        <v>28.124099999999999</v>
      </c>
      <c r="BM126" s="70">
        <v>8.2538999999999998</v>
      </c>
      <c r="BN126" s="70">
        <v>2.4674</v>
      </c>
      <c r="BU126" s="72"/>
      <c r="BV126" s="72"/>
      <c r="BW126" s="72"/>
      <c r="BX126" s="72">
        <f t="shared" si="50"/>
        <v>135.02179561461654</v>
      </c>
      <c r="BY126" s="72"/>
      <c r="BZ126" s="72"/>
      <c r="CA126" s="72"/>
      <c r="CB126" s="72"/>
      <c r="CD126" s="74">
        <v>6.94</v>
      </c>
      <c r="CE126" s="69"/>
      <c r="CF126" s="69"/>
      <c r="CG126" s="69"/>
      <c r="CH126" s="69">
        <f t="shared" si="43"/>
        <v>0</v>
      </c>
      <c r="CI126" s="76"/>
      <c r="CJ126" s="76"/>
      <c r="CK126" s="177"/>
      <c r="CL126" s="70"/>
      <c r="CM126" s="76"/>
      <c r="CN126" s="77"/>
      <c r="CO126" s="77"/>
      <c r="CP126" s="77"/>
      <c r="CQ126" s="77"/>
      <c r="CR126" s="77"/>
      <c r="CS126" s="66"/>
      <c r="CT126" s="66"/>
      <c r="CU126" s="66"/>
      <c r="CV126" s="66"/>
      <c r="CW126" s="66"/>
      <c r="CX126" s="66"/>
      <c r="CY126" s="66"/>
      <c r="CZ126" s="66"/>
      <c r="DA126" s="168"/>
      <c r="DB126" s="67">
        <v>6.77</v>
      </c>
      <c r="DC126" s="69">
        <v>13.110735418427728</v>
      </c>
      <c r="DD126" s="69">
        <v>1.7601585728444002</v>
      </c>
      <c r="DE126" s="69">
        <v>80.734274711168155</v>
      </c>
      <c r="DF126" s="69">
        <f t="shared" si="48"/>
        <v>11.350576845583328</v>
      </c>
      <c r="DG126" s="70">
        <v>54.326999999999998</v>
      </c>
      <c r="DH126" s="70"/>
      <c r="DI126" s="70"/>
      <c r="DJ126" s="177">
        <v>419.43900000000002</v>
      </c>
      <c r="DK126" s="177">
        <f t="shared" si="44"/>
        <v>94.751270099999999</v>
      </c>
      <c r="DL126" s="70">
        <v>15.3657</v>
      </c>
      <c r="DM126" s="70">
        <v>41.719299999999997</v>
      </c>
      <c r="DN126" s="71"/>
      <c r="DO126" s="71"/>
      <c r="DP126" s="180"/>
      <c r="DQ126" s="180"/>
      <c r="DR126" s="71"/>
      <c r="DS126" s="180"/>
      <c r="DT126" s="66"/>
      <c r="DU126" s="79"/>
      <c r="DV126" s="79">
        <f t="shared" si="49"/>
        <v>31.666144632877234</v>
      </c>
      <c r="DW126" s="119"/>
      <c r="DX126" s="79"/>
      <c r="DY126" s="136"/>
      <c r="DZ126" s="168"/>
      <c r="EA126" s="74">
        <v>6.66</v>
      </c>
      <c r="EB126" s="78">
        <f t="shared" si="32"/>
        <v>51.644313797538111</v>
      </c>
      <c r="EC126" s="78">
        <f t="shared" si="33"/>
        <v>-152.21414408460006</v>
      </c>
      <c r="ED126" s="78">
        <f t="shared" si="34"/>
        <v>18.413046123889504</v>
      </c>
      <c r="EE126" s="78">
        <f t="shared" si="35"/>
        <v>102.78691171871776</v>
      </c>
      <c r="EF126" s="79">
        <f t="shared" si="51"/>
        <v>77.556993658127837</v>
      </c>
      <c r="EG126" s="66"/>
      <c r="EH126" s="66"/>
      <c r="EI126" s="66"/>
      <c r="EJ126" s="79">
        <f t="shared" si="46"/>
        <v>93.142511723546377</v>
      </c>
      <c r="EK126" s="79">
        <f t="shared" si="52"/>
        <v>76.547382969739388</v>
      </c>
      <c r="EL126" s="66"/>
      <c r="EM126" s="66"/>
      <c r="EN126" s="66"/>
      <c r="EO126" s="66"/>
      <c r="EP126" s="79">
        <f t="shared" si="47"/>
        <v>94.736527672563625</v>
      </c>
    </row>
    <row r="127" spans="1:146" s="116" customFormat="1" x14ac:dyDescent="0.3">
      <c r="A127" s="105">
        <v>44767</v>
      </c>
      <c r="B127" s="106">
        <f t="shared" si="29"/>
        <v>68</v>
      </c>
      <c r="C127" s="107">
        <v>114.15469146238378</v>
      </c>
      <c r="D127" s="108">
        <v>52.365632385453978</v>
      </c>
      <c r="E127" s="108">
        <v>18.570731707317073</v>
      </c>
      <c r="F127" s="107">
        <f t="shared" si="23"/>
        <v>61.789059076929803</v>
      </c>
      <c r="G127" s="109">
        <v>37.648800000000001</v>
      </c>
      <c r="H127" s="109"/>
      <c r="I127" s="109"/>
      <c r="J127" s="109">
        <v>0.5302</v>
      </c>
      <c r="K127" s="109">
        <f t="shared" si="42"/>
        <v>0.11977217999999999</v>
      </c>
      <c r="L127" s="109">
        <v>3.6046</v>
      </c>
      <c r="M127" s="109">
        <v>15.785500000000001</v>
      </c>
      <c r="N127" s="109"/>
      <c r="O127" s="109"/>
      <c r="P127" s="109"/>
      <c r="Q127" s="109"/>
      <c r="R127" s="109"/>
      <c r="S127" s="109"/>
      <c r="T127" s="109"/>
      <c r="U127" s="110"/>
      <c r="V127" s="110"/>
      <c r="W127" s="109">
        <f t="shared" si="40"/>
        <v>233.45572847583924</v>
      </c>
      <c r="X127" s="109"/>
      <c r="Y127" s="109"/>
      <c r="Z127" s="109"/>
      <c r="AA127" s="109"/>
      <c r="AB127" s="109"/>
      <c r="AC127" s="109"/>
      <c r="AD127" s="109">
        <v>7.17</v>
      </c>
      <c r="AE127" s="111"/>
      <c r="AF127" s="111"/>
      <c r="AG127" s="111"/>
      <c r="AH127" s="107">
        <f t="shared" si="39"/>
        <v>0</v>
      </c>
      <c r="AI127" s="109"/>
      <c r="AJ127" s="109"/>
      <c r="AK127" s="109"/>
      <c r="AL127" s="109"/>
      <c r="AM127" s="109"/>
      <c r="AN127" s="109"/>
      <c r="AO127" s="109"/>
      <c r="AP127" s="109"/>
      <c r="AQ127" s="109"/>
      <c r="AR127" s="109"/>
      <c r="AS127" s="109"/>
      <c r="AT127" s="113"/>
      <c r="AU127" s="113"/>
      <c r="AV127" s="113"/>
      <c r="AW127" s="113"/>
      <c r="AX127" s="109"/>
      <c r="AY127" s="109"/>
      <c r="AZ127" s="109"/>
      <c r="BA127" s="109"/>
      <c r="BB127" s="109"/>
      <c r="BC127" s="109">
        <v>7.3</v>
      </c>
      <c r="BD127" s="108">
        <v>108.56297548605242</v>
      </c>
      <c r="BE127" s="108">
        <v>54.451475184874589</v>
      </c>
      <c r="BF127" s="108">
        <v>14.240564826700899</v>
      </c>
      <c r="BG127" s="114">
        <f t="shared" si="25"/>
        <v>54.111500301177834</v>
      </c>
      <c r="BH127" s="109">
        <v>33.751399999999997</v>
      </c>
      <c r="BI127" s="109"/>
      <c r="BJ127" s="109"/>
      <c r="BK127" s="109"/>
      <c r="BL127" s="109"/>
      <c r="BM127" s="109"/>
      <c r="BN127" s="109"/>
      <c r="BO127" s="109"/>
      <c r="BP127" s="109"/>
      <c r="BQ127" s="109"/>
      <c r="BR127" s="109"/>
      <c r="BS127" s="109"/>
      <c r="BT127" s="109"/>
      <c r="BU127" s="109"/>
      <c r="BV127" s="109"/>
      <c r="BW127" s="109"/>
      <c r="BX127" s="109">
        <f t="shared" si="50"/>
        <v>324.55486722205148</v>
      </c>
      <c r="BY127" s="109"/>
      <c r="BZ127" s="109"/>
      <c r="CA127" s="109"/>
      <c r="CB127" s="109"/>
      <c r="CC127" s="109"/>
      <c r="CD127" s="109">
        <v>7.19</v>
      </c>
      <c r="CE127" s="109"/>
      <c r="CF127" s="109"/>
      <c r="CG127" s="109"/>
      <c r="CH127" s="109">
        <f t="shared" si="43"/>
        <v>0</v>
      </c>
      <c r="CI127" s="115"/>
      <c r="CJ127" s="115"/>
      <c r="CK127" s="113"/>
      <c r="CL127" s="109"/>
      <c r="CM127" s="115"/>
      <c r="CN127" s="115"/>
      <c r="CO127" s="115"/>
      <c r="CP127" s="115"/>
      <c r="CQ127" s="115"/>
      <c r="CR127" s="115"/>
      <c r="CS127" s="115"/>
      <c r="CT127" s="115"/>
      <c r="CU127" s="115"/>
      <c r="CV127" s="115"/>
      <c r="CW127" s="115"/>
      <c r="CX127" s="115"/>
      <c r="CY127" s="115"/>
      <c r="CZ127" s="115"/>
      <c r="DA127" s="109"/>
      <c r="DB127" s="115">
        <v>7.65</v>
      </c>
      <c r="DC127" s="109">
        <v>82.202028740490292</v>
      </c>
      <c r="DD127" s="109">
        <v>44.241823587710599</v>
      </c>
      <c r="DE127" s="109">
        <v>13.313992297817713</v>
      </c>
      <c r="DF127" s="109">
        <f t="shared" si="48"/>
        <v>37.960205152779693</v>
      </c>
      <c r="DG127" s="109">
        <v>52.164499999999997</v>
      </c>
      <c r="DH127" s="109"/>
      <c r="DI127" s="109"/>
      <c r="DJ127" s="113">
        <v>3.9935</v>
      </c>
      <c r="DK127" s="113">
        <f t="shared" si="44"/>
        <v>0.90213164999999995</v>
      </c>
      <c r="DL127" s="109">
        <v>7.2926000000000002</v>
      </c>
      <c r="DM127" s="109">
        <v>36.604399999999998</v>
      </c>
      <c r="DN127" s="109"/>
      <c r="DO127" s="109"/>
      <c r="DP127" s="113"/>
      <c r="DQ127" s="113"/>
      <c r="DR127" s="109"/>
      <c r="DS127" s="113"/>
      <c r="DT127" s="115"/>
      <c r="DU127" s="109"/>
      <c r="DV127" s="109">
        <f t="shared" si="49"/>
        <v>151.1247489923739</v>
      </c>
      <c r="DW127" s="110"/>
      <c r="DX127" s="109"/>
      <c r="DY127" s="113"/>
      <c r="DZ127" s="109"/>
      <c r="EA127" s="109">
        <v>8.06</v>
      </c>
      <c r="EB127" s="109">
        <f t="shared" si="32"/>
        <v>4.8983672109296865</v>
      </c>
      <c r="EC127" s="109">
        <f t="shared" si="33"/>
        <v>-3.983228511530422</v>
      </c>
      <c r="ED127" s="109">
        <f t="shared" si="34"/>
        <v>23.31715814358591</v>
      </c>
      <c r="EE127" s="109">
        <f t="shared" si="35"/>
        <v>12.425434033868532</v>
      </c>
      <c r="EF127" s="109"/>
      <c r="EG127" s="115"/>
      <c r="EH127" s="115"/>
      <c r="EI127" s="115"/>
      <c r="EJ127" s="109">
        <f t="shared" si="46"/>
        <v>38.564843485449828</v>
      </c>
      <c r="EK127" s="109">
        <f t="shared" si="52"/>
        <v>53.436301761273995</v>
      </c>
      <c r="EL127" s="115"/>
      <c r="EM127" s="115"/>
      <c r="EN127" s="115"/>
      <c r="EO127" s="115"/>
      <c r="EP127" s="109">
        <f t="shared" si="47"/>
        <v>35.266206582712286</v>
      </c>
    </row>
    <row r="128" spans="1:146" x14ac:dyDescent="0.3">
      <c r="A128" s="86">
        <v>44768</v>
      </c>
      <c r="B128" s="106">
        <f t="shared" si="29"/>
        <v>69</v>
      </c>
      <c r="C128" s="96">
        <v>142.9881656804734</v>
      </c>
      <c r="D128" s="93">
        <v>46.766791187009218</v>
      </c>
      <c r="E128" s="93">
        <v>13.977150192554557</v>
      </c>
      <c r="F128" s="96">
        <f t="shared" si="23"/>
        <v>96.221374493464182</v>
      </c>
      <c r="G128" s="70">
        <v>22.774000000000001</v>
      </c>
      <c r="L128" s="70">
        <v>3.2984</v>
      </c>
      <c r="M128" s="70">
        <v>7.7572999999999999</v>
      </c>
      <c r="T128" s="72"/>
      <c r="U128" s="73"/>
      <c r="V128" s="73"/>
      <c r="W128" s="72">
        <f t="shared" si="40"/>
        <v>355.66290235220305</v>
      </c>
      <c r="X128" s="72"/>
      <c r="Y128" s="72"/>
      <c r="Z128" s="72"/>
      <c r="AA128" s="72"/>
      <c r="AB128" s="72"/>
      <c r="AD128" s="74">
        <v>6.85</v>
      </c>
      <c r="AE128" s="97"/>
      <c r="AF128" s="97"/>
      <c r="AG128" s="97"/>
      <c r="AH128" s="96">
        <f t="shared" si="39"/>
        <v>0</v>
      </c>
      <c r="AS128" s="72"/>
      <c r="AT128" s="75"/>
      <c r="AU128" s="75"/>
      <c r="AV128" s="75"/>
      <c r="AW128" s="75"/>
      <c r="AX128" s="72"/>
      <c r="AY128" s="72"/>
      <c r="AZ128" s="72"/>
      <c r="BA128" s="72"/>
      <c r="BC128" s="74">
        <v>7.07</v>
      </c>
      <c r="BD128" s="93">
        <v>89.201183431952671</v>
      </c>
      <c r="BE128" s="93">
        <v>81.238087977433864</v>
      </c>
      <c r="BF128" s="93">
        <v>13.207702182284979</v>
      </c>
      <c r="BG128" s="88">
        <f t="shared" si="25"/>
        <v>7.9630954545188075</v>
      </c>
      <c r="BH128" s="70">
        <v>31.703099999999999</v>
      </c>
      <c r="BM128" s="70">
        <v>8.1875999999999998</v>
      </c>
      <c r="BN128" s="70">
        <v>0.82520000000000004</v>
      </c>
      <c r="BU128" s="72"/>
      <c r="BV128" s="72"/>
      <c r="BW128" s="72"/>
      <c r="BX128" s="72">
        <f t="shared" si="50"/>
        <v>175.61089057945944</v>
      </c>
      <c r="BY128" s="72"/>
      <c r="BZ128" s="72"/>
      <c r="CA128" s="72"/>
      <c r="CB128" s="72"/>
      <c r="CD128" s="74">
        <v>6.98</v>
      </c>
      <c r="CE128" s="69"/>
      <c r="CF128" s="69"/>
      <c r="CG128" s="69"/>
      <c r="CH128" s="69">
        <f t="shared" si="43"/>
        <v>0</v>
      </c>
      <c r="CI128" s="76"/>
      <c r="CJ128" s="76"/>
      <c r="CK128" s="177"/>
      <c r="CL128" s="70"/>
      <c r="CM128" s="76"/>
      <c r="CN128" s="77"/>
      <c r="CO128" s="77"/>
      <c r="CP128" s="77"/>
      <c r="CQ128" s="77"/>
      <c r="CR128" s="77"/>
      <c r="CS128" s="66"/>
      <c r="CT128" s="66"/>
      <c r="CU128" s="66"/>
      <c r="CV128" s="66"/>
      <c r="CW128" s="66"/>
      <c r="CX128" s="66"/>
      <c r="CY128" s="66"/>
      <c r="CZ128" s="66"/>
      <c r="DA128" s="168"/>
      <c r="DB128" s="67">
        <v>7.08</v>
      </c>
      <c r="DC128" s="69">
        <v>14.657650042265429</v>
      </c>
      <c r="DD128" s="69">
        <v>4.0097583288861784</v>
      </c>
      <c r="DE128" s="69">
        <v>50.002567394094996</v>
      </c>
      <c r="DF128" s="69">
        <f t="shared" si="48"/>
        <v>10.64789171337925</v>
      </c>
      <c r="DG128" s="70">
        <v>55.200099999999999</v>
      </c>
      <c r="DH128" s="70"/>
      <c r="DI128" s="70"/>
      <c r="DJ128" s="177">
        <v>343.37099999999998</v>
      </c>
      <c r="DK128" s="177">
        <f t="shared" si="44"/>
        <v>77.567508899999993</v>
      </c>
      <c r="DL128" s="70">
        <v>8.4105000000000008</v>
      </c>
      <c r="DM128" s="70">
        <v>69.510800000000003</v>
      </c>
      <c r="DN128" s="71"/>
      <c r="DO128" s="71"/>
      <c r="DP128" s="180"/>
      <c r="DQ128" s="180"/>
      <c r="DR128" s="71"/>
      <c r="DS128" s="180"/>
      <c r="DT128" s="66"/>
      <c r="DU128" s="79"/>
      <c r="DV128" s="79">
        <f t="shared" si="49"/>
        <v>28.511580268873473</v>
      </c>
      <c r="DW128" s="119"/>
      <c r="DX128" s="79"/>
      <c r="DY128" s="136"/>
      <c r="DZ128" s="168"/>
      <c r="EA128" s="74">
        <v>7.14</v>
      </c>
      <c r="EB128" s="78">
        <f t="shared" si="32"/>
        <v>37.616387337057731</v>
      </c>
      <c r="EC128" s="78">
        <f t="shared" si="33"/>
        <v>-73.708920187793453</v>
      </c>
      <c r="ED128" s="78">
        <f t="shared" si="34"/>
        <v>5.505042155728229</v>
      </c>
      <c r="EE128" s="78">
        <f t="shared" si="35"/>
        <v>91.72419278311213</v>
      </c>
      <c r="EF128" s="79">
        <f t="shared" ref="EF128:EF170" si="53">(W128-BX128)/W128*100</f>
        <v>50.624344170268046</v>
      </c>
      <c r="EG128" s="66"/>
      <c r="EH128" s="66"/>
      <c r="EI128" s="66"/>
      <c r="EJ128" s="79">
        <f t="shared" si="46"/>
        <v>88.933964236706558</v>
      </c>
      <c r="EK128" s="79">
        <f t="shared" si="52"/>
        <v>83.764343899860407</v>
      </c>
      <c r="EL128" s="66"/>
      <c r="EM128" s="66"/>
      <c r="EN128" s="66"/>
      <c r="EO128" s="66"/>
      <c r="EP128" s="79">
        <f t="shared" si="47"/>
        <v>91.983538322296184</v>
      </c>
    </row>
    <row r="129" spans="1:146" x14ac:dyDescent="0.3">
      <c r="A129" s="86">
        <v>44769</v>
      </c>
      <c r="B129" s="106">
        <f t="shared" si="29"/>
        <v>70</v>
      </c>
      <c r="C129" s="96">
        <v>88.987966068258046</v>
      </c>
      <c r="D129" s="93">
        <v>44.642459345065717</v>
      </c>
      <c r="E129" s="93">
        <v>10.380665427270978</v>
      </c>
      <c r="F129" s="96">
        <f t="shared" si="23"/>
        <v>44.345506723192329</v>
      </c>
      <c r="G129" s="70">
        <v>31.891400000000001</v>
      </c>
      <c r="J129" s="70">
        <v>0.20710000000000001</v>
      </c>
      <c r="K129" s="70">
        <f t="shared" si="42"/>
        <v>4.6783890000000002E-2</v>
      </c>
      <c r="L129" s="70">
        <v>3.8294999999999999</v>
      </c>
      <c r="M129" s="70">
        <v>13.064399999999999</v>
      </c>
      <c r="T129" s="72"/>
      <c r="U129" s="73"/>
      <c r="V129" s="73"/>
      <c r="W129" s="72">
        <f t="shared" si="40"/>
        <v>171.54507246195422</v>
      </c>
      <c r="X129" s="72"/>
      <c r="Y129" s="72"/>
      <c r="Z129" s="72"/>
      <c r="AA129" s="72"/>
      <c r="AB129" s="72"/>
      <c r="AD129" s="74">
        <v>7.04</v>
      </c>
      <c r="AE129" s="97"/>
      <c r="AF129" s="97"/>
      <c r="AG129" s="97"/>
      <c r="AH129" s="96">
        <f t="shared" si="39"/>
        <v>0</v>
      </c>
      <c r="AS129" s="72"/>
      <c r="AT129" s="75"/>
      <c r="AU129" s="75"/>
      <c r="AV129" s="75"/>
      <c r="AW129" s="75"/>
      <c r="AX129" s="72"/>
      <c r="AY129" s="72"/>
      <c r="AZ129" s="72"/>
      <c r="BA129" s="72"/>
      <c r="BC129" s="74">
        <v>6.87</v>
      </c>
      <c r="BD129" s="93">
        <v>89.911225093706861</v>
      </c>
      <c r="BE129" s="93">
        <v>100.833147694364</v>
      </c>
      <c r="BF129" s="93">
        <v>12.46695300980832</v>
      </c>
      <c r="BG129" s="88">
        <f t="shared" si="25"/>
        <v>-10.92192260065714</v>
      </c>
      <c r="BH129" s="70">
        <v>36.356999999999999</v>
      </c>
      <c r="BK129" s="70">
        <v>0.1759</v>
      </c>
      <c r="BL129" s="70">
        <f t="shared" si="28"/>
        <v>3.9735809999999996E-2</v>
      </c>
      <c r="BM129" s="70">
        <v>12.723000000000001</v>
      </c>
      <c r="BN129" s="70">
        <v>2.0569000000000002</v>
      </c>
      <c r="BU129" s="72"/>
      <c r="BV129" s="72"/>
      <c r="BW129" s="72"/>
      <c r="BX129" s="72">
        <f t="shared" si="50"/>
        <v>114.65949480637907</v>
      </c>
      <c r="BY129" s="72"/>
      <c r="BZ129" s="72"/>
      <c r="CA129" s="72"/>
      <c r="CB129" s="72"/>
      <c r="CD129" s="74">
        <v>6.84</v>
      </c>
      <c r="CE129" s="69"/>
      <c r="CF129" s="69"/>
      <c r="CG129" s="69"/>
      <c r="CH129" s="69">
        <f t="shared" si="43"/>
        <v>0</v>
      </c>
      <c r="CI129" s="76"/>
      <c r="CJ129" s="76"/>
      <c r="CK129" s="177"/>
      <c r="CL129" s="70"/>
      <c r="CM129" s="76"/>
      <c r="CN129" s="77"/>
      <c r="CO129" s="77"/>
      <c r="CP129" s="77"/>
      <c r="CQ129" s="77"/>
      <c r="CR129" s="77"/>
      <c r="CS129" s="66"/>
      <c r="CT129" s="66"/>
      <c r="CU129" s="66"/>
      <c r="CV129" s="66"/>
      <c r="CW129" s="66"/>
      <c r="CX129" s="66"/>
      <c r="CY129" s="66"/>
      <c r="CZ129" s="66"/>
      <c r="DA129" s="168"/>
      <c r="DB129" s="67">
        <v>6.93</v>
      </c>
      <c r="DC129" s="69">
        <v>15.541526928388246</v>
      </c>
      <c r="DD129" s="69">
        <v>4.2976163956337725</v>
      </c>
      <c r="DE129" s="69">
        <v>63.557920379511508</v>
      </c>
      <c r="DF129" s="69">
        <f t="shared" si="48"/>
        <v>11.243910532754473</v>
      </c>
      <c r="DG129" s="70">
        <v>40.157299999999999</v>
      </c>
      <c r="DH129" s="70"/>
      <c r="DI129" s="70"/>
      <c r="DJ129" s="177">
        <v>282.39319999999998</v>
      </c>
      <c r="DK129" s="177">
        <f t="shared" si="44"/>
        <v>63.792623879999994</v>
      </c>
      <c r="DL129" s="70">
        <v>9.3063000000000002</v>
      </c>
      <c r="DM129" s="70">
        <v>37.137999999999998</v>
      </c>
      <c r="DN129" s="71"/>
      <c r="DO129" s="71"/>
      <c r="DP129" s="180"/>
      <c r="DQ129" s="180"/>
      <c r="DR129" s="71"/>
      <c r="DS129" s="180"/>
      <c r="DT129" s="66"/>
      <c r="DU129" s="79"/>
      <c r="DV129" s="79">
        <f t="shared" si="49"/>
        <v>31.187287554694656</v>
      </c>
      <c r="DW129" s="119"/>
      <c r="DX129" s="79"/>
      <c r="DY129" s="136"/>
      <c r="DZ129" s="168"/>
      <c r="EA129" s="74">
        <v>6.91</v>
      </c>
      <c r="EB129" s="78">
        <f t="shared" si="32"/>
        <v>-1.0375099760574709</v>
      </c>
      <c r="EC129" s="78">
        <f t="shared" si="33"/>
        <v>-125.86826347305389</v>
      </c>
      <c r="ED129" s="78">
        <f t="shared" si="34"/>
        <v>-20.097821253890615</v>
      </c>
      <c r="EE129" s="78">
        <f t="shared" si="35"/>
        <v>124.62915277715175</v>
      </c>
      <c r="EF129" s="79">
        <f t="shared" si="53"/>
        <v>33.160717961275985</v>
      </c>
      <c r="EG129" s="66"/>
      <c r="EH129" s="66"/>
      <c r="EI129" s="66"/>
      <c r="EJ129" s="79">
        <f t="shared" si="46"/>
        <v>74.644758029399185</v>
      </c>
      <c r="EK129" s="79">
        <f t="shared" si="52"/>
        <v>72.800082882486635</v>
      </c>
      <c r="EL129" s="66"/>
      <c r="EM129" s="66"/>
      <c r="EN129" s="66"/>
      <c r="EO129" s="66"/>
      <c r="EP129" s="79">
        <f t="shared" si="47"/>
        <v>81.819770683526073</v>
      </c>
    </row>
    <row r="130" spans="1:146" x14ac:dyDescent="0.3">
      <c r="A130" s="86">
        <v>44770</v>
      </c>
      <c r="B130" s="106">
        <f t="shared" si="29"/>
        <v>71</v>
      </c>
      <c r="C130" s="93">
        <v>187.91872164134941</v>
      </c>
      <c r="D130" s="93">
        <v>52.875918912898207</v>
      </c>
      <c r="E130" s="93">
        <v>14.022437335726647</v>
      </c>
      <c r="F130" s="96">
        <f t="shared" si="23"/>
        <v>135.04280272845119</v>
      </c>
      <c r="G130" s="70">
        <v>47.006300000000003</v>
      </c>
      <c r="J130" s="70">
        <v>0.1163</v>
      </c>
      <c r="K130" s="70">
        <f t="shared" si="42"/>
        <v>2.6272169999999997E-2</v>
      </c>
      <c r="L130" s="70">
        <v>4.2058</v>
      </c>
      <c r="M130" s="70">
        <v>32.097000000000001</v>
      </c>
      <c r="T130" s="72"/>
      <c r="U130" s="73"/>
      <c r="V130" s="73"/>
      <c r="W130" s="72">
        <f t="shared" si="40"/>
        <v>493.44791544381894</v>
      </c>
      <c r="X130" s="72"/>
      <c r="Y130" s="72"/>
      <c r="Z130" s="72"/>
      <c r="AA130" s="72"/>
      <c r="AB130" s="72"/>
      <c r="AD130" s="74">
        <v>6.68</v>
      </c>
      <c r="AE130" s="97"/>
      <c r="AF130" s="97"/>
      <c r="AG130" s="97"/>
      <c r="AH130" s="96">
        <f t="shared" si="39"/>
        <v>0</v>
      </c>
      <c r="AS130" s="72"/>
      <c r="AT130" s="75"/>
      <c r="AU130" s="75"/>
      <c r="AV130" s="75"/>
      <c r="AW130" s="75"/>
      <c r="AX130" s="72"/>
      <c r="AY130" s="72"/>
      <c r="AZ130" s="72"/>
      <c r="BA130" s="72"/>
      <c r="BC130" s="74">
        <v>6.99</v>
      </c>
      <c r="BD130" s="93">
        <v>88.526336555533632</v>
      </c>
      <c r="BE130" s="93">
        <v>98.07975050122522</v>
      </c>
      <c r="BF130" s="93">
        <v>12.64234886851721</v>
      </c>
      <c r="BG130" s="88">
        <f t="shared" si="25"/>
        <v>-9.5534139456915881</v>
      </c>
      <c r="BH130" s="70">
        <v>34.332000000000001</v>
      </c>
      <c r="BM130" s="70">
        <v>11.7949</v>
      </c>
      <c r="BN130" s="70">
        <v>1.3479000000000001</v>
      </c>
      <c r="BU130" s="72"/>
      <c r="BV130" s="72"/>
      <c r="BW130" s="72"/>
      <c r="BX130" s="72">
        <f t="shared" si="50"/>
        <v>119.0763564902804</v>
      </c>
      <c r="BY130" s="72"/>
      <c r="BZ130" s="72"/>
      <c r="CA130" s="72"/>
      <c r="CB130" s="72"/>
      <c r="CD130" s="74">
        <v>6.8</v>
      </c>
      <c r="CE130" s="69"/>
      <c r="CF130" s="69"/>
      <c r="CG130" s="69"/>
      <c r="CH130" s="69">
        <f t="shared" si="43"/>
        <v>0</v>
      </c>
      <c r="CI130" s="76"/>
      <c r="CJ130" s="76"/>
      <c r="CK130" s="177"/>
      <c r="CL130" s="70"/>
      <c r="CM130" s="76"/>
      <c r="CN130" s="77"/>
      <c r="CO130" s="77"/>
      <c r="CP130" s="77"/>
      <c r="CQ130" s="77"/>
      <c r="CR130" s="77"/>
      <c r="CS130" s="66"/>
      <c r="CT130" s="66"/>
      <c r="CU130" s="66"/>
      <c r="CV130" s="66"/>
      <c r="CW130" s="66"/>
      <c r="CX130" s="66"/>
      <c r="CY130" s="66"/>
      <c r="CZ130" s="66"/>
      <c r="DA130" s="168"/>
      <c r="DB130" s="67">
        <v>6.86</v>
      </c>
      <c r="DC130" s="69">
        <v>15.71907674097455</v>
      </c>
      <c r="DD130" s="69">
        <v>3.3388282468255741</v>
      </c>
      <c r="DE130" s="69">
        <v>74.727867170972502</v>
      </c>
      <c r="DF130" s="69">
        <f t="shared" si="48"/>
        <v>12.380248494148976</v>
      </c>
      <c r="DG130" s="70">
        <v>44.738599999999998</v>
      </c>
      <c r="DH130" s="70"/>
      <c r="DI130" s="70"/>
      <c r="DJ130" s="177">
        <v>385.85849999999999</v>
      </c>
      <c r="DK130" s="177">
        <f t="shared" si="44"/>
        <v>87.165435149999993</v>
      </c>
      <c r="DL130" s="70">
        <v>11.5495</v>
      </c>
      <c r="DM130" s="70">
        <v>40.153100000000002</v>
      </c>
      <c r="DN130" s="71"/>
      <c r="DO130" s="71"/>
      <c r="DP130" s="180"/>
      <c r="DQ130" s="180"/>
      <c r="DR130" s="71"/>
      <c r="DS130" s="180"/>
      <c r="DT130" s="66"/>
      <c r="DU130" s="79"/>
      <c r="DV130" s="79">
        <f t="shared" si="49"/>
        <v>36.288649564783</v>
      </c>
      <c r="DW130" s="119"/>
      <c r="DX130" s="79"/>
      <c r="DY130" s="136"/>
      <c r="DZ130" s="168"/>
      <c r="EA130" s="74">
        <v>6.87</v>
      </c>
      <c r="EB130" s="78">
        <f t="shared" si="32"/>
        <v>52.891156462585045</v>
      </c>
      <c r="EC130" s="78">
        <f t="shared" si="33"/>
        <v>-85.490394337714832</v>
      </c>
      <c r="ED130" s="78">
        <f t="shared" si="34"/>
        <v>9.8420013166556952</v>
      </c>
      <c r="EE130" s="78">
        <f t="shared" si="35"/>
        <v>107.0743599456403</v>
      </c>
      <c r="EF130" s="79">
        <f t="shared" si="53"/>
        <v>75.868505517308691</v>
      </c>
      <c r="EG130" s="66"/>
      <c r="EH130" s="66"/>
      <c r="EI130" s="66"/>
      <c r="EJ130" s="79">
        <f t="shared" si="46"/>
        <v>90.832352229060589</v>
      </c>
      <c r="EK130" s="79">
        <f t="shared" si="52"/>
        <v>69.524890889867748</v>
      </c>
      <c r="EL130" s="66"/>
      <c r="EM130" s="66"/>
      <c r="EN130" s="66"/>
      <c r="EO130" s="66"/>
      <c r="EP130" s="79">
        <f t="shared" si="47"/>
        <v>92.645900726494276</v>
      </c>
    </row>
    <row r="131" spans="1:146" x14ac:dyDescent="0.3">
      <c r="A131" s="86">
        <v>44771</v>
      </c>
      <c r="B131" s="106">
        <f t="shared" si="29"/>
        <v>72</v>
      </c>
      <c r="C131" s="96">
        <v>143.95738804497933</v>
      </c>
      <c r="D131" s="93">
        <v>46.861216306527076</v>
      </c>
      <c r="E131" s="93">
        <v>13.357779344829797</v>
      </c>
      <c r="F131" s="96">
        <f t="shared" si="23"/>
        <v>97.096171738452256</v>
      </c>
      <c r="G131" s="70">
        <v>45.027299999999997</v>
      </c>
      <c r="J131" s="70">
        <v>0.214</v>
      </c>
      <c r="K131" s="70">
        <f t="shared" si="42"/>
        <v>4.8342599999999999E-2</v>
      </c>
      <c r="L131" s="70">
        <v>7.3670999999999998</v>
      </c>
      <c r="M131" s="70">
        <v>36.965499999999999</v>
      </c>
      <c r="T131" s="72"/>
      <c r="U131" s="73"/>
      <c r="V131" s="73"/>
      <c r="W131" s="72">
        <f t="shared" si="40"/>
        <v>358.76773273411476</v>
      </c>
      <c r="X131" s="72"/>
      <c r="Y131" s="72"/>
      <c r="Z131" s="72"/>
      <c r="AA131" s="72"/>
      <c r="AB131" s="72"/>
      <c r="AD131" s="74">
        <v>7.05</v>
      </c>
      <c r="AE131" s="97"/>
      <c r="AF131" s="97"/>
      <c r="AG131" s="97"/>
      <c r="AH131" s="96">
        <f t="shared" si="39"/>
        <v>0</v>
      </c>
      <c r="AS131" s="72"/>
      <c r="AT131" s="75"/>
      <c r="AU131" s="75"/>
      <c r="AV131" s="75"/>
      <c r="AW131" s="75"/>
      <c r="AX131" s="72"/>
      <c r="AY131" s="72"/>
      <c r="AZ131" s="72"/>
      <c r="BA131" s="72"/>
      <c r="BC131" s="74">
        <v>6.84</v>
      </c>
      <c r="BD131" s="93">
        <v>93.533241270467556</v>
      </c>
      <c r="BE131" s="93">
        <v>96.876809979951005</v>
      </c>
      <c r="BF131" s="93">
        <v>14.823257901147507</v>
      </c>
      <c r="BG131" s="88">
        <f t="shared" si="25"/>
        <v>-3.3435687094834492</v>
      </c>
      <c r="BH131" s="70">
        <v>37.54</v>
      </c>
      <c r="BM131" s="70">
        <v>11.993</v>
      </c>
      <c r="BN131" s="70">
        <v>1.2204999999999999</v>
      </c>
      <c r="BU131" s="72"/>
      <c r="BV131" s="72"/>
      <c r="BW131" s="72"/>
      <c r="BX131" s="72">
        <f t="shared" si="50"/>
        <v>139.11863199014218</v>
      </c>
      <c r="BY131" s="72"/>
      <c r="BZ131" s="72"/>
      <c r="CA131" s="72"/>
      <c r="CB131" s="72"/>
      <c r="CD131" s="74">
        <v>6.83</v>
      </c>
      <c r="CE131" s="69"/>
      <c r="CF131" s="69"/>
      <c r="CG131" s="69"/>
      <c r="CH131" s="69">
        <f t="shared" si="43"/>
        <v>0</v>
      </c>
      <c r="CI131" s="76"/>
      <c r="CJ131" s="76"/>
      <c r="CK131" s="177"/>
      <c r="CL131" s="70"/>
      <c r="CM131" s="76"/>
      <c r="CN131" s="77"/>
      <c r="CO131" s="77"/>
      <c r="CP131" s="77"/>
      <c r="CQ131" s="77"/>
      <c r="CR131" s="77"/>
      <c r="CS131" s="66"/>
      <c r="CT131" s="66"/>
      <c r="CU131" s="66"/>
      <c r="CV131" s="66"/>
      <c r="CW131" s="66"/>
      <c r="CX131" s="66"/>
      <c r="CY131" s="66"/>
      <c r="CZ131" s="66"/>
      <c r="DA131" s="168"/>
      <c r="DB131" s="67">
        <v>6.73</v>
      </c>
      <c r="DC131" s="69">
        <v>16.713355691457885</v>
      </c>
      <c r="DD131" s="69">
        <v>3.4680329694809537</v>
      </c>
      <c r="DE131" s="69">
        <v>80.335918969164695</v>
      </c>
      <c r="DF131" s="69">
        <f t="shared" si="48"/>
        <v>13.245322721976931</v>
      </c>
      <c r="DG131" s="70">
        <v>35.2896</v>
      </c>
      <c r="DH131" s="70"/>
      <c r="DI131" s="70"/>
      <c r="DJ131" s="177">
        <v>312.00659999999999</v>
      </c>
      <c r="DK131" s="177">
        <f t="shared" si="44"/>
        <v>70.482290939999999</v>
      </c>
      <c r="DL131" s="70">
        <v>5.7778</v>
      </c>
      <c r="DM131" s="70">
        <v>30.918700000000001</v>
      </c>
      <c r="DN131" s="71"/>
      <c r="DO131" s="71"/>
      <c r="DP131" s="180"/>
      <c r="DQ131" s="180"/>
      <c r="DR131" s="71"/>
      <c r="DS131" s="180"/>
      <c r="DT131" s="66"/>
      <c r="DU131" s="79"/>
      <c r="DV131" s="79">
        <f t="shared" si="49"/>
        <v>40.172227295771037</v>
      </c>
      <c r="DW131" s="119"/>
      <c r="DX131" s="79"/>
      <c r="DY131" s="136"/>
      <c r="DZ131" s="168"/>
      <c r="EA131" s="74">
        <v>6.73</v>
      </c>
      <c r="EB131" s="78">
        <f t="shared" si="32"/>
        <v>35.02713369511595</v>
      </c>
      <c r="EC131" s="78">
        <f t="shared" si="33"/>
        <v>-106.73131774101539</v>
      </c>
      <c r="ED131" s="78">
        <f t="shared" si="34"/>
        <v>-10.970974429854847</v>
      </c>
      <c r="EE131" s="78">
        <f t="shared" si="35"/>
        <v>103.44356389095341</v>
      </c>
      <c r="EF131" s="79">
        <f t="shared" si="53"/>
        <v>61.223203957072705</v>
      </c>
      <c r="EG131" s="66"/>
      <c r="EH131" s="66"/>
      <c r="EI131" s="66"/>
      <c r="EJ131" s="79">
        <f t="shared" si="46"/>
        <v>86.358553087287689</v>
      </c>
      <c r="EK131" s="79">
        <f t="shared" si="52"/>
        <v>71.123761985657239</v>
      </c>
      <c r="EL131" s="66"/>
      <c r="EM131" s="66"/>
      <c r="EN131" s="66"/>
      <c r="EO131" s="66"/>
      <c r="EP131" s="79">
        <f t="shared" si="47"/>
        <v>88.802720080308077</v>
      </c>
    </row>
    <row r="132" spans="1:146" x14ac:dyDescent="0.3">
      <c r="A132" s="86">
        <v>44775</v>
      </c>
      <c r="B132" s="106">
        <f t="shared" si="29"/>
        <v>76</v>
      </c>
      <c r="C132" s="96">
        <v>126.68538495640607</v>
      </c>
      <c r="D132" s="93">
        <v>48.533846647417398</v>
      </c>
      <c r="E132" s="93">
        <v>13.56460728902748</v>
      </c>
      <c r="F132" s="96">
        <f t="shared" si="23"/>
        <v>78.151538308988677</v>
      </c>
      <c r="G132" s="70">
        <v>61.882199999999997</v>
      </c>
      <c r="J132" s="70">
        <v>0.24610000000000001</v>
      </c>
      <c r="K132" s="70">
        <f t="shared" si="42"/>
        <v>5.5593990000000003E-2</v>
      </c>
      <c r="L132" s="70">
        <v>9.0622000000000007</v>
      </c>
      <c r="M132" s="70">
        <v>46.222000000000001</v>
      </c>
      <c r="T132" s="72"/>
      <c r="U132" s="73"/>
      <c r="V132" s="73"/>
      <c r="W132" s="72">
        <f t="shared" si="40"/>
        <v>291.52943976626261</v>
      </c>
      <c r="X132" s="72"/>
      <c r="Y132" s="72"/>
      <c r="Z132" s="72"/>
      <c r="AA132" s="72"/>
      <c r="AB132" s="72"/>
      <c r="AD132" s="74">
        <v>6.88</v>
      </c>
      <c r="AE132" s="97"/>
      <c r="AF132" s="97"/>
      <c r="AG132" s="97"/>
      <c r="AH132" s="96">
        <f t="shared" si="39"/>
        <v>0</v>
      </c>
      <c r="AS132" s="72"/>
      <c r="AT132" s="75"/>
      <c r="AU132" s="75"/>
      <c r="AV132" s="75"/>
      <c r="AW132" s="75"/>
      <c r="AX132" s="72"/>
      <c r="AY132" s="72"/>
      <c r="AZ132" s="72"/>
      <c r="BA132" s="72"/>
      <c r="BC132" s="74">
        <v>6.94</v>
      </c>
      <c r="BD132" s="93">
        <v>91.857543963351546</v>
      </c>
      <c r="BE132" s="93">
        <v>96.400384985563065</v>
      </c>
      <c r="BF132" s="93">
        <v>14.270902358214775</v>
      </c>
      <c r="BG132" s="88">
        <f t="shared" si="25"/>
        <v>-4.542841022211519</v>
      </c>
      <c r="BH132" s="70">
        <v>37.702399999999997</v>
      </c>
      <c r="BM132" s="70">
        <v>2.2012999999999998</v>
      </c>
      <c r="BN132" s="70">
        <v>3.117</v>
      </c>
      <c r="BU132" s="72"/>
      <c r="BV132" s="72"/>
      <c r="BW132" s="72"/>
      <c r="BX132" s="72">
        <f t="shared" si="50"/>
        <v>135.24798060081233</v>
      </c>
      <c r="BY132" s="72"/>
      <c r="BZ132" s="72"/>
      <c r="CA132" s="72"/>
      <c r="CB132" s="72"/>
      <c r="CD132" s="74">
        <v>6.89</v>
      </c>
      <c r="CE132" s="69"/>
      <c r="CF132" s="69"/>
      <c r="CG132" s="69"/>
      <c r="CH132" s="69">
        <f t="shared" si="43"/>
        <v>0</v>
      </c>
      <c r="CI132" s="76"/>
      <c r="CJ132" s="76"/>
      <c r="CK132" s="177"/>
      <c r="CL132" s="70"/>
      <c r="CM132" s="76"/>
      <c r="CN132" s="77"/>
      <c r="CO132" s="77"/>
      <c r="CP132" s="77"/>
      <c r="CQ132" s="77"/>
      <c r="CR132" s="77"/>
      <c r="CS132" s="66"/>
      <c r="CT132" s="66"/>
      <c r="CU132" s="66"/>
      <c r="CV132" s="66"/>
      <c r="CW132" s="66"/>
      <c r="CX132" s="66"/>
      <c r="CY132" s="66"/>
      <c r="CZ132" s="66"/>
      <c r="DA132" s="168"/>
      <c r="DB132" s="67">
        <v>6.48</v>
      </c>
      <c r="DC132" s="69">
        <v>12.365893305748486</v>
      </c>
      <c r="DD132" s="69">
        <v>1.6118062239332693</v>
      </c>
      <c r="DE132" s="69">
        <v>81.90216332099007</v>
      </c>
      <c r="DF132" s="69">
        <f t="shared" si="48"/>
        <v>10.754087081815216</v>
      </c>
      <c r="DG132" s="70">
        <v>40.346699999999998</v>
      </c>
      <c r="DH132" s="70"/>
      <c r="DI132" s="70"/>
      <c r="DJ132" s="177">
        <v>355.86169999999998</v>
      </c>
      <c r="DK132" s="177">
        <f t="shared" si="44"/>
        <v>80.38915802999999</v>
      </c>
      <c r="DL132" s="70">
        <v>15.078200000000001</v>
      </c>
      <c r="DM132" s="70">
        <v>21.0961</v>
      </c>
      <c r="DN132" s="71"/>
      <c r="DO132" s="71"/>
      <c r="DP132" s="180"/>
      <c r="DQ132" s="180"/>
      <c r="DR132" s="71"/>
      <c r="DS132" s="180"/>
      <c r="DT132" s="66"/>
      <c r="DU132" s="79"/>
      <c r="DV132" s="79">
        <f t="shared" si="49"/>
        <v>28.988323136393049</v>
      </c>
      <c r="DW132" s="119"/>
      <c r="DX132" s="79"/>
      <c r="DY132" s="136"/>
      <c r="DZ132" s="168"/>
      <c r="EA132" s="74">
        <v>6.5</v>
      </c>
      <c r="EB132" s="78">
        <f t="shared" si="32"/>
        <v>27.491601343784993</v>
      </c>
      <c r="EC132" s="78">
        <f t="shared" si="33"/>
        <v>-98.625066102591234</v>
      </c>
      <c r="ED132" s="78">
        <f t="shared" si="34"/>
        <v>-5.2068965517241521</v>
      </c>
      <c r="EE132" s="78">
        <f t="shared" si="35"/>
        <v>105.81286193529607</v>
      </c>
      <c r="EF132" s="79">
        <f t="shared" si="53"/>
        <v>53.607436453330713</v>
      </c>
      <c r="EG132" s="66"/>
      <c r="EH132" s="66"/>
      <c r="EI132" s="66"/>
      <c r="EJ132" s="79">
        <f t="shared" si="46"/>
        <v>86.239442863815867</v>
      </c>
      <c r="EK132" s="79">
        <f t="shared" si="52"/>
        <v>78.566539028813466</v>
      </c>
      <c r="EL132" s="66"/>
      <c r="EM132" s="66"/>
      <c r="EN132" s="66"/>
      <c r="EO132" s="66"/>
      <c r="EP132" s="79">
        <f t="shared" si="47"/>
        <v>90.05646799869173</v>
      </c>
    </row>
    <row r="133" spans="1:146" x14ac:dyDescent="0.3">
      <c r="A133" s="86">
        <v>44776</v>
      </c>
      <c r="B133" s="106">
        <f t="shared" si="29"/>
        <v>77</v>
      </c>
      <c r="C133" s="96">
        <v>107.3917541007832</v>
      </c>
      <c r="D133" s="93">
        <v>51.382739813923656</v>
      </c>
      <c r="E133" s="93">
        <v>16.574546871954784</v>
      </c>
      <c r="F133" s="96">
        <f t="shared" si="23"/>
        <v>56.009014286859546</v>
      </c>
      <c r="G133" s="70">
        <v>42.111400000000003</v>
      </c>
      <c r="J133" s="70">
        <v>0.43680000000000002</v>
      </c>
      <c r="K133" s="70">
        <f t="shared" si="42"/>
        <v>9.8673120000000003E-2</v>
      </c>
      <c r="L133" s="70">
        <v>5.3998999999999997</v>
      </c>
      <c r="M133" s="70">
        <v>26.312799999999999</v>
      </c>
      <c r="T133" s="72"/>
      <c r="U133" s="73"/>
      <c r="V133" s="73"/>
      <c r="W133" s="72">
        <f t="shared" si="40"/>
        <v>212.94119350692191</v>
      </c>
      <c r="X133" s="72"/>
      <c r="Y133" s="72"/>
      <c r="Z133" s="72"/>
      <c r="AA133" s="72"/>
      <c r="AB133" s="72"/>
      <c r="AD133" s="74">
        <v>7.26</v>
      </c>
      <c r="AE133" s="97"/>
      <c r="AF133" s="97"/>
      <c r="AG133" s="97"/>
      <c r="AH133" s="96">
        <f t="shared" si="39"/>
        <v>0</v>
      </c>
      <c r="AS133" s="72"/>
      <c r="AT133" s="75"/>
      <c r="AU133" s="75"/>
      <c r="AV133" s="75"/>
      <c r="AW133" s="75"/>
      <c r="AX133" s="72"/>
      <c r="AY133" s="72"/>
      <c r="AZ133" s="72"/>
      <c r="BA133" s="72"/>
      <c r="BC133" s="74">
        <v>6.87</v>
      </c>
      <c r="BD133" s="93">
        <v>91.502881631446726</v>
      </c>
      <c r="BE133" s="93">
        <v>95.91273660571062</v>
      </c>
      <c r="BF133" s="93">
        <v>15.879945429740793</v>
      </c>
      <c r="BG133" s="88">
        <f t="shared" si="25"/>
        <v>-4.4098549742638937</v>
      </c>
      <c r="BH133" s="70">
        <v>58.3446</v>
      </c>
      <c r="BK133" s="70">
        <v>0.218</v>
      </c>
      <c r="BL133" s="70">
        <f t="shared" si="28"/>
        <v>4.9246199999999997E-2</v>
      </c>
      <c r="BM133" s="70">
        <v>19.5685</v>
      </c>
      <c r="BN133" s="70">
        <v>1.8266</v>
      </c>
      <c r="BU133" s="72"/>
      <c r="BV133" s="72"/>
      <c r="BW133" s="72"/>
      <c r="BX133" s="72">
        <f t="shared" si="50"/>
        <v>135.67719307056328</v>
      </c>
      <c r="BY133" s="72"/>
      <c r="BZ133" s="72"/>
      <c r="CA133" s="72"/>
      <c r="CB133" s="72"/>
      <c r="CD133" s="74">
        <v>6.83</v>
      </c>
      <c r="CE133" s="69"/>
      <c r="CF133" s="69"/>
      <c r="CG133" s="69"/>
      <c r="CH133" s="69">
        <f t="shared" si="43"/>
        <v>0</v>
      </c>
      <c r="CI133" s="76"/>
      <c r="CJ133" s="76"/>
      <c r="CK133" s="177"/>
      <c r="CL133" s="70"/>
      <c r="CM133" s="76"/>
      <c r="CN133" s="77"/>
      <c r="CO133" s="77"/>
      <c r="CP133" s="77"/>
      <c r="CQ133" s="77"/>
      <c r="CR133" s="77"/>
      <c r="CS133" s="66"/>
      <c r="CT133" s="66"/>
      <c r="CU133" s="66"/>
      <c r="CV133" s="66"/>
      <c r="CW133" s="66"/>
      <c r="CX133" s="66"/>
      <c r="CY133" s="66"/>
      <c r="CZ133" s="66"/>
      <c r="DA133" s="168"/>
      <c r="DB133" s="67">
        <v>6.4</v>
      </c>
      <c r="DC133" s="69">
        <v>11.82089552238806</v>
      </c>
      <c r="DD133" s="69">
        <v>1.31665062560154</v>
      </c>
      <c r="DE133" s="69">
        <v>86.18203079321772</v>
      </c>
      <c r="DF133" s="69">
        <f t="shared" si="48"/>
        <v>10.504244896786521</v>
      </c>
      <c r="DG133" s="70">
        <v>50.14</v>
      </c>
      <c r="DH133" s="70"/>
      <c r="DI133" s="70"/>
      <c r="DJ133" s="177">
        <v>439.1053</v>
      </c>
      <c r="DK133" s="177">
        <f t="shared" si="44"/>
        <v>99.193887269999991</v>
      </c>
      <c r="DL133" s="70">
        <v>20.145499999999998</v>
      </c>
      <c r="DM133" s="70">
        <v>31.089099999999998</v>
      </c>
      <c r="DN133" s="71"/>
      <c r="DO133" s="71"/>
      <c r="DP133" s="180"/>
      <c r="DQ133" s="180"/>
      <c r="DR133" s="71"/>
      <c r="DS133" s="180"/>
      <c r="DT133" s="66"/>
      <c r="DU133" s="79"/>
      <c r="DV133" s="79">
        <f t="shared" si="49"/>
        <v>27.866706615143727</v>
      </c>
      <c r="DW133" s="119"/>
      <c r="DX133" s="79"/>
      <c r="DY133" s="136"/>
      <c r="DZ133" s="168"/>
      <c r="EA133" s="74">
        <v>6.23</v>
      </c>
      <c r="EB133" s="78">
        <f t="shared" si="32"/>
        <v>14.795244385733151</v>
      </c>
      <c r="EC133" s="78">
        <f t="shared" si="33"/>
        <v>-86.663336663336622</v>
      </c>
      <c r="ED133" s="78">
        <f t="shared" si="34"/>
        <v>4.1907718357555908</v>
      </c>
      <c r="EE133" s="78">
        <f t="shared" si="35"/>
        <v>107.87347363707936</v>
      </c>
      <c r="EF133" s="79">
        <f t="shared" si="53"/>
        <v>36.284196197034589</v>
      </c>
      <c r="EG133" s="66"/>
      <c r="EH133" s="66"/>
      <c r="EI133" s="66"/>
      <c r="EJ133" s="79">
        <f t="shared" si="46"/>
        <v>81.245438737794458</v>
      </c>
      <c r="EK133" s="79">
        <f t="shared" si="52"/>
        <v>79.461023636706017</v>
      </c>
      <c r="EL133" s="66"/>
      <c r="EM133" s="66"/>
      <c r="EN133" s="66"/>
      <c r="EO133" s="66"/>
      <c r="EP133" s="79">
        <f t="shared" si="47"/>
        <v>86.913426117226166</v>
      </c>
    </row>
    <row r="134" spans="1:146" x14ac:dyDescent="0.3">
      <c r="A134" s="86">
        <v>44778</v>
      </c>
      <c r="B134" s="106">
        <f t="shared" si="29"/>
        <v>79</v>
      </c>
      <c r="C134" s="96">
        <v>138.5311068420275</v>
      </c>
      <c r="D134" s="93">
        <v>43.914019890920756</v>
      </c>
      <c r="E134" s="93">
        <v>15.550185149093744</v>
      </c>
      <c r="F134" s="96">
        <f t="shared" si="23"/>
        <v>94.617086951106742</v>
      </c>
      <c r="G134" s="70">
        <v>38.114699999999999</v>
      </c>
      <c r="J134" s="70">
        <v>0.72060000000000002</v>
      </c>
      <c r="K134" s="70">
        <f t="shared" si="42"/>
        <v>0.16278354</v>
      </c>
      <c r="L134" s="70">
        <v>6.2343000000000002</v>
      </c>
      <c r="M134" s="70">
        <v>24.623699999999999</v>
      </c>
      <c r="T134" s="72"/>
      <c r="U134" s="73"/>
      <c r="V134" s="73"/>
      <c r="W134" s="72">
        <f t="shared" si="40"/>
        <v>349.96896500686802</v>
      </c>
      <c r="X134" s="72"/>
      <c r="Y134" s="72"/>
      <c r="Z134" s="72"/>
      <c r="AA134" s="72"/>
      <c r="AB134" s="72"/>
      <c r="AD134" s="74">
        <v>6.91</v>
      </c>
      <c r="AE134" s="97"/>
      <c r="AF134" s="97"/>
      <c r="AG134" s="97"/>
      <c r="AH134" s="96">
        <f t="shared" si="39"/>
        <v>0</v>
      </c>
      <c r="AS134" s="72"/>
      <c r="AT134" s="75"/>
      <c r="AU134" s="75"/>
      <c r="AV134" s="75"/>
      <c r="AW134" s="75"/>
      <c r="AX134" s="72"/>
      <c r="AY134" s="72"/>
      <c r="AZ134" s="72"/>
      <c r="BA134" s="72"/>
      <c r="BC134" s="74">
        <v>7.13</v>
      </c>
      <c r="BD134" s="93">
        <v>124.3091473326437</v>
      </c>
      <c r="BE134" s="93">
        <v>100.32723772858519</v>
      </c>
      <c r="BF134" s="93">
        <v>16.749951276554281</v>
      </c>
      <c r="BG134" s="88">
        <f t="shared" si="25"/>
        <v>23.981909604058515</v>
      </c>
      <c r="BH134" s="70">
        <v>38.902999999999999</v>
      </c>
      <c r="BM134" s="70">
        <v>17.240500000000001</v>
      </c>
      <c r="BN134" s="70">
        <v>1.0455000000000001</v>
      </c>
      <c r="BU134" s="72"/>
      <c r="BV134" s="72"/>
      <c r="BW134" s="72"/>
      <c r="BX134" s="72">
        <f t="shared" si="50"/>
        <v>227.31161324709888</v>
      </c>
      <c r="BY134" s="72"/>
      <c r="BZ134" s="72"/>
      <c r="CA134" s="72"/>
      <c r="CB134" s="72"/>
      <c r="CD134" s="74">
        <v>6.89</v>
      </c>
      <c r="CE134" s="69"/>
      <c r="CF134" s="69"/>
      <c r="CG134" s="69"/>
      <c r="CH134" s="69">
        <f t="shared" si="43"/>
        <v>0</v>
      </c>
      <c r="CI134" s="76"/>
      <c r="CJ134" s="76"/>
      <c r="CK134" s="177"/>
      <c r="CL134" s="70"/>
      <c r="CM134" s="76"/>
      <c r="CN134" s="77"/>
      <c r="CO134" s="77"/>
      <c r="CP134" s="77"/>
      <c r="CQ134" s="77"/>
      <c r="CR134" s="77"/>
      <c r="CS134" s="66"/>
      <c r="CT134" s="66"/>
      <c r="CU134" s="66"/>
      <c r="CV134" s="66"/>
      <c r="CW134" s="66"/>
      <c r="CX134" s="66"/>
      <c r="CY134" s="66"/>
      <c r="CZ134" s="66"/>
      <c r="DA134" s="168"/>
      <c r="DB134" s="67">
        <v>6.42</v>
      </c>
      <c r="DC134" s="69">
        <v>13.146150435939115</v>
      </c>
      <c r="DD134" s="69">
        <v>1.0437386375788686</v>
      </c>
      <c r="DE134" s="69">
        <v>82.159423114402671</v>
      </c>
      <c r="DF134" s="69">
        <f t="shared" si="48"/>
        <v>12.102411798360245</v>
      </c>
      <c r="DG134" s="70">
        <v>50.578400000000002</v>
      </c>
      <c r="DH134" s="70"/>
      <c r="DI134" s="70"/>
      <c r="DJ134" s="177">
        <v>395.01089999999999</v>
      </c>
      <c r="DK134" s="177">
        <f t="shared" si="44"/>
        <v>89.232962309999991</v>
      </c>
      <c r="DL134" s="70">
        <v>19.518699999999999</v>
      </c>
      <c r="DM134" s="70">
        <v>30.2881</v>
      </c>
      <c r="DN134" s="71"/>
      <c r="DO134" s="71"/>
      <c r="DP134" s="180"/>
      <c r="DQ134" s="180"/>
      <c r="DR134" s="71"/>
      <c r="DS134" s="180"/>
      <c r="DT134" s="66"/>
      <c r="DU134" s="79"/>
      <c r="DV134" s="79">
        <f t="shared" si="49"/>
        <v>35.041357286378648</v>
      </c>
      <c r="DW134" s="119"/>
      <c r="DX134" s="79"/>
      <c r="DY134" s="136"/>
      <c r="DZ134" s="168"/>
      <c r="EA134" s="74">
        <v>6.02</v>
      </c>
      <c r="EB134" s="78">
        <f t="shared" si="32"/>
        <v>10.266257040450602</v>
      </c>
      <c r="EC134" s="78">
        <f t="shared" si="33"/>
        <v>-128.46288720046758</v>
      </c>
      <c r="ED134" s="78">
        <f t="shared" si="34"/>
        <v>-7.7154459317190724</v>
      </c>
      <c r="EE134" s="78">
        <f t="shared" si="35"/>
        <v>74.6537223065733</v>
      </c>
      <c r="EF134" s="79">
        <f t="shared" si="53"/>
        <v>35.048065406988883</v>
      </c>
      <c r="EG134" s="66"/>
      <c r="EH134" s="66"/>
      <c r="EI134" s="66"/>
      <c r="EJ134" s="79">
        <f t="shared" si="46"/>
        <v>87.209063195304083</v>
      </c>
      <c r="EK134" s="79">
        <f t="shared" si="52"/>
        <v>84.584440369842881</v>
      </c>
      <c r="EL134" s="66"/>
      <c r="EM134" s="66"/>
      <c r="EN134" s="66"/>
      <c r="EO134" s="66"/>
      <c r="EP134" s="79">
        <f t="shared" si="47"/>
        <v>89.987295791873734</v>
      </c>
    </row>
    <row r="135" spans="1:146" ht="17.399999999999999" x14ac:dyDescent="0.35">
      <c r="A135" s="7">
        <v>44781</v>
      </c>
      <c r="B135" s="106">
        <f t="shared" si="29"/>
        <v>82</v>
      </c>
      <c r="C135" s="96">
        <v>287.20121028744325</v>
      </c>
      <c r="D135" s="93">
        <v>25.777091149856542</v>
      </c>
      <c r="E135" s="93">
        <v>17.734443716665108</v>
      </c>
      <c r="F135" s="96">
        <f t="shared" si="23"/>
        <v>261.42411913758673</v>
      </c>
      <c r="G135" s="70">
        <v>42.922699999999999</v>
      </c>
      <c r="J135" s="70">
        <v>0.3236</v>
      </c>
      <c r="K135" s="70">
        <f t="shared" si="42"/>
        <v>7.3101239999999998E-2</v>
      </c>
      <c r="L135" s="70">
        <v>2.3159999999999998</v>
      </c>
      <c r="M135" s="70">
        <v>24.232900000000001</v>
      </c>
      <c r="T135" s="72"/>
      <c r="U135" s="73"/>
      <c r="V135" s="73"/>
      <c r="W135" s="72">
        <f t="shared" si="40"/>
        <v>942.00048364312283</v>
      </c>
      <c r="X135" s="72"/>
      <c r="Y135" s="72"/>
      <c r="Z135" s="72"/>
      <c r="AA135" s="72"/>
      <c r="AB135" s="72"/>
      <c r="AD135" s="74">
        <v>5.74</v>
      </c>
      <c r="AE135" s="97"/>
      <c r="AF135" s="97"/>
      <c r="AG135" s="97"/>
      <c r="AH135" s="96">
        <f t="shared" si="39"/>
        <v>0</v>
      </c>
      <c r="AS135" s="72"/>
      <c r="AT135" s="75"/>
      <c r="AU135" s="75"/>
      <c r="AV135" s="75"/>
      <c r="AW135" s="75"/>
      <c r="AX135" s="72"/>
      <c r="AY135" s="72"/>
      <c r="AZ135" s="72"/>
      <c r="BA135" s="72"/>
      <c r="BC135" s="74">
        <v>6.95</v>
      </c>
      <c r="BD135" s="93">
        <v>146.6464952092789</v>
      </c>
      <c r="BE135" s="93">
        <v>118.54336790995364</v>
      </c>
      <c r="BF135" s="93">
        <v>20.903153363900067</v>
      </c>
      <c r="BG135" s="88">
        <f t="shared" si="25"/>
        <v>28.103127299325251</v>
      </c>
      <c r="BH135" s="70">
        <v>41.974699999999999</v>
      </c>
      <c r="BK135" s="70">
        <v>0.25600000000000001</v>
      </c>
      <c r="BL135" s="70">
        <f t="shared" si="28"/>
        <v>5.7830399999999997E-2</v>
      </c>
      <c r="BU135" s="72"/>
      <c r="BV135" s="72"/>
      <c r="BW135" s="72"/>
      <c r="BX135" s="72">
        <f t="shared" si="50"/>
        <v>240.61284335857226</v>
      </c>
      <c r="BY135" s="72"/>
      <c r="BZ135" s="72"/>
      <c r="CA135" s="72"/>
      <c r="CB135" s="72"/>
      <c r="CD135" s="74">
        <v>6.82</v>
      </c>
      <c r="CE135" s="69"/>
      <c r="CF135" s="69"/>
      <c r="CG135" s="69"/>
      <c r="CH135" s="69">
        <f t="shared" si="43"/>
        <v>0</v>
      </c>
      <c r="CI135" s="76"/>
      <c r="CJ135" s="76"/>
      <c r="CK135" s="177"/>
      <c r="CL135" s="70"/>
      <c r="CM135" s="76"/>
      <c r="CN135" s="77"/>
      <c r="CO135" s="77"/>
      <c r="CP135" s="77"/>
      <c r="CQ135" s="77"/>
      <c r="CR135" s="77"/>
      <c r="CS135" s="66"/>
      <c r="CT135" s="66"/>
      <c r="CU135" s="66"/>
      <c r="CV135" s="66"/>
      <c r="CW135" s="66"/>
      <c r="CX135" s="66"/>
      <c r="CY135" s="66"/>
      <c r="CZ135" s="66"/>
      <c r="DA135" s="168"/>
      <c r="DB135" s="67">
        <v>7.19</v>
      </c>
      <c r="DC135" s="69">
        <v>31.010253824172132</v>
      </c>
      <c r="DD135" s="69">
        <v>16.005296843963801</v>
      </c>
      <c r="DE135" s="69">
        <v>100.63067278001311</v>
      </c>
      <c r="DF135" s="69">
        <f t="shared" si="48"/>
        <v>15.00495698020833</v>
      </c>
      <c r="DG135" s="70">
        <v>61.566600000000001</v>
      </c>
      <c r="DH135" s="70"/>
      <c r="DI135" s="70"/>
      <c r="DJ135" s="177">
        <v>489.51819999999998</v>
      </c>
      <c r="DK135" s="177">
        <f t="shared" si="44"/>
        <v>110.58216137999999</v>
      </c>
      <c r="DL135" s="70">
        <v>20.310600000000001</v>
      </c>
      <c r="DM135" s="70">
        <v>47.514200000000002</v>
      </c>
      <c r="DN135" s="71"/>
      <c r="DO135" s="71"/>
      <c r="DP135" s="180"/>
      <c r="DQ135" s="180"/>
      <c r="DR135" s="71"/>
      <c r="DS135" s="180"/>
      <c r="DT135" s="66"/>
      <c r="DU135" s="79"/>
      <c r="DV135" s="79">
        <f t="shared" si="49"/>
        <v>48.071753371249265</v>
      </c>
      <c r="DW135" s="119"/>
      <c r="DX135" s="79"/>
      <c r="DY135" s="136"/>
      <c r="DZ135" s="168"/>
      <c r="EA135" s="74">
        <v>7.04</v>
      </c>
      <c r="EB135" s="78"/>
      <c r="EC135" s="78"/>
      <c r="ED135" s="78"/>
      <c r="EE135" s="78">
        <f t="shared" si="35"/>
        <v>89.249986806100836</v>
      </c>
      <c r="EF135" s="79">
        <f t="shared" si="53"/>
        <v>74.457248426453191</v>
      </c>
      <c r="EG135" s="66"/>
      <c r="EH135" s="66"/>
      <c r="EI135" s="66"/>
      <c r="EJ135" s="79">
        <f t="shared" si="46"/>
        <v>94.260301218683168</v>
      </c>
      <c r="EK135" s="79">
        <f t="shared" si="52"/>
        <v>80.021119113907588</v>
      </c>
      <c r="EL135" s="66"/>
      <c r="EM135" s="66"/>
      <c r="EN135" s="66"/>
      <c r="EO135" s="66"/>
      <c r="EP135" s="79">
        <f t="shared" si="47"/>
        <v>94.896844088090575</v>
      </c>
    </row>
    <row r="136" spans="1:146" x14ac:dyDescent="0.3">
      <c r="A136" s="86">
        <v>44783</v>
      </c>
      <c r="B136" s="106">
        <f t="shared" si="29"/>
        <v>84</v>
      </c>
      <c r="C136" s="96">
        <v>171.65910237014626</v>
      </c>
      <c r="D136" s="93">
        <v>53.762966232619725</v>
      </c>
      <c r="E136" s="93">
        <v>18.953869186862541</v>
      </c>
      <c r="F136" s="96">
        <f t="shared" si="23"/>
        <v>117.89613613752653</v>
      </c>
      <c r="G136" s="70">
        <v>32.656599999999997</v>
      </c>
      <c r="J136" s="70">
        <v>0.37440000000000001</v>
      </c>
      <c r="K136" s="70">
        <f t="shared" si="42"/>
        <v>8.4576959999999993E-2</v>
      </c>
      <c r="L136" s="70">
        <v>6.0720000000000001</v>
      </c>
      <c r="M136" s="70">
        <v>16.553799999999999</v>
      </c>
      <c r="T136" s="72"/>
      <c r="U136" s="73"/>
      <c r="V136" s="73"/>
      <c r="W136" s="72">
        <f t="shared" si="40"/>
        <v>432.59096637930912</v>
      </c>
      <c r="X136" s="72"/>
      <c r="Y136" s="72"/>
      <c r="Z136" s="72"/>
      <c r="AA136" s="72"/>
      <c r="AB136" s="72"/>
      <c r="AD136" s="74">
        <v>6.82</v>
      </c>
      <c r="AE136" s="97"/>
      <c r="AF136" s="97"/>
      <c r="AG136" s="97"/>
      <c r="AH136" s="96">
        <f t="shared" si="39"/>
        <v>0</v>
      </c>
      <c r="AS136" s="72"/>
      <c r="AT136" s="75"/>
      <c r="AU136" s="75"/>
      <c r="AV136" s="75"/>
      <c r="AW136" s="75"/>
      <c r="AX136" s="72"/>
      <c r="AY136" s="72"/>
      <c r="AZ136" s="72"/>
      <c r="BA136" s="72"/>
      <c r="BC136" s="74">
        <v>7.01</v>
      </c>
      <c r="BD136" s="93">
        <v>112.27433182047403</v>
      </c>
      <c r="BE136" s="93">
        <v>126.83292871330833</v>
      </c>
      <c r="BF136" s="93">
        <v>19.908299803499578</v>
      </c>
      <c r="BG136" s="88">
        <f t="shared" si="25"/>
        <v>-14.558596892834302</v>
      </c>
      <c r="BH136" s="70">
        <v>40.237699999999997</v>
      </c>
      <c r="BK136" s="70">
        <v>7.46E-2</v>
      </c>
      <c r="BL136" s="70">
        <f t="shared" si="28"/>
        <v>1.6852139999999998E-2</v>
      </c>
      <c r="BM136" s="70">
        <v>17.814599999999999</v>
      </c>
      <c r="BN136" s="70">
        <v>0.77300000000000002</v>
      </c>
      <c r="BU136" s="72"/>
      <c r="BV136" s="72"/>
      <c r="BW136" s="72"/>
      <c r="BX136" s="72">
        <f t="shared" si="50"/>
        <v>102.92212852837729</v>
      </c>
      <c r="BY136" s="72"/>
      <c r="BZ136" s="72"/>
      <c r="CA136" s="72"/>
      <c r="CB136" s="72"/>
      <c r="CD136" s="74">
        <v>6.89</v>
      </c>
      <c r="CE136" s="69"/>
      <c r="CF136" s="69"/>
      <c r="CG136" s="69"/>
      <c r="CH136" s="69">
        <f t="shared" si="43"/>
        <v>0</v>
      </c>
      <c r="CI136" s="76"/>
      <c r="CJ136" s="76"/>
      <c r="CK136" s="177"/>
      <c r="CL136" s="70"/>
      <c r="CM136" s="76"/>
      <c r="CN136" s="77"/>
      <c r="CO136" s="77"/>
      <c r="CP136" s="77"/>
      <c r="CQ136" s="77"/>
      <c r="CR136" s="77"/>
      <c r="CS136" s="66"/>
      <c r="CT136" s="66"/>
      <c r="CU136" s="66"/>
      <c r="CV136" s="66"/>
      <c r="CW136" s="66"/>
      <c r="CX136" s="66"/>
      <c r="CY136" s="66"/>
      <c r="CZ136" s="66"/>
      <c r="DA136" s="168"/>
      <c r="DB136" s="67">
        <v>6.77</v>
      </c>
      <c r="DC136" s="69">
        <v>24.770549672213821</v>
      </c>
      <c r="DD136" s="69">
        <v>5.8106378282939737</v>
      </c>
      <c r="DE136" s="69">
        <v>94.095630204921861</v>
      </c>
      <c r="DF136" s="69">
        <f t="shared" si="48"/>
        <v>18.959911843919848</v>
      </c>
      <c r="DG136" s="70">
        <v>70.600099999999998</v>
      </c>
      <c r="DH136" s="70"/>
      <c r="DI136" s="70"/>
      <c r="DJ136" s="177">
        <v>640.38589999999999</v>
      </c>
      <c r="DK136" s="177">
        <f t="shared" si="44"/>
        <v>144.66317480999999</v>
      </c>
      <c r="DL136" s="70">
        <v>24.783100000000001</v>
      </c>
      <c r="DM136" s="70">
        <v>71.427099999999996</v>
      </c>
      <c r="DN136" s="71"/>
      <c r="DO136" s="71"/>
      <c r="DP136" s="180"/>
      <c r="DQ136" s="180"/>
      <c r="DR136" s="71"/>
      <c r="DS136" s="180"/>
      <c r="DT136" s="66"/>
      <c r="DU136" s="79"/>
      <c r="DV136" s="79">
        <f t="shared" si="49"/>
        <v>65.826732240909365</v>
      </c>
      <c r="DW136" s="119"/>
      <c r="DX136" s="79"/>
      <c r="DY136" s="136"/>
      <c r="DZ136" s="168"/>
      <c r="EA136" s="74">
        <v>6.71</v>
      </c>
      <c r="EB136" s="78"/>
      <c r="EC136" s="78"/>
      <c r="ED136" s="78"/>
      <c r="EE136" s="78">
        <f t="shared" si="35"/>
        <v>112.3486632978808</v>
      </c>
      <c r="EF136" s="79">
        <f t="shared" si="53"/>
        <v>76.207980164307926</v>
      </c>
      <c r="EG136" s="66"/>
      <c r="EH136" s="66"/>
      <c r="EI136" s="66"/>
      <c r="EJ136" s="79">
        <f t="shared" si="46"/>
        <v>83.918122794284784</v>
      </c>
      <c r="EK136" s="79">
        <f t="shared" si="52"/>
        <v>36.042196967623077</v>
      </c>
      <c r="EL136" s="66"/>
      <c r="EM136" s="66"/>
      <c r="EN136" s="66"/>
      <c r="EO136" s="66"/>
      <c r="EP136" s="79">
        <f t="shared" si="47"/>
        <v>84.783146816064004</v>
      </c>
    </row>
    <row r="137" spans="1:146" x14ac:dyDescent="0.3">
      <c r="A137" s="86">
        <v>44785</v>
      </c>
      <c r="B137" s="106">
        <f t="shared" si="29"/>
        <v>86</v>
      </c>
      <c r="C137" s="96">
        <v>155.53867193435647</v>
      </c>
      <c r="D137" s="93">
        <v>54.128660063132685</v>
      </c>
      <c r="E137" s="93">
        <v>19.461654135338343</v>
      </c>
      <c r="F137" s="96">
        <f t="shared" si="23"/>
        <v>101.41001187122379</v>
      </c>
      <c r="G137" s="70">
        <v>52.5261</v>
      </c>
      <c r="L137" s="70">
        <v>11.0359</v>
      </c>
      <c r="M137" s="70">
        <v>30.3886</v>
      </c>
      <c r="T137" s="72"/>
      <c r="U137" s="73">
        <v>286</v>
      </c>
      <c r="V137" s="73"/>
      <c r="W137" s="72">
        <f t="shared" si="40"/>
        <v>374.07841413334745</v>
      </c>
      <c r="X137" s="72"/>
      <c r="Y137" s="72"/>
      <c r="Z137" s="72"/>
      <c r="AA137" s="72"/>
      <c r="AB137" s="72"/>
      <c r="AD137" s="74">
        <v>6.86</v>
      </c>
      <c r="AE137" s="97"/>
      <c r="AF137" s="97"/>
      <c r="AG137" s="97"/>
      <c r="AH137" s="96">
        <f t="shared" si="39"/>
        <v>0</v>
      </c>
      <c r="AS137" s="72"/>
      <c r="AT137" s="75"/>
      <c r="AU137" s="75"/>
      <c r="AV137" s="75"/>
      <c r="AW137" s="75"/>
      <c r="AX137" s="72"/>
      <c r="AY137" s="72"/>
      <c r="AZ137" s="72"/>
      <c r="BA137" s="72"/>
      <c r="BC137" s="74">
        <v>6.81</v>
      </c>
      <c r="BD137" s="93">
        <v>124.79562376538519</v>
      </c>
      <c r="BE137" s="93">
        <v>119.64732774572764</v>
      </c>
      <c r="BF137" s="93">
        <v>22.466165413533833</v>
      </c>
      <c r="BG137" s="88">
        <f t="shared" si="25"/>
        <v>5.1482960196575505</v>
      </c>
      <c r="BH137" s="70">
        <v>64.316400000000002</v>
      </c>
      <c r="BM137" s="70">
        <v>28.8338</v>
      </c>
      <c r="BN137" s="70">
        <v>2.1671999999999998</v>
      </c>
      <c r="BU137" s="72"/>
      <c r="BV137" s="72">
        <f>(28.1+29.8)</f>
        <v>57.900000000000006</v>
      </c>
      <c r="BW137" s="72"/>
      <c r="BX137" s="72">
        <f t="shared" si="50"/>
        <v>166.52612540344475</v>
      </c>
      <c r="BY137" s="72"/>
      <c r="BZ137" s="72"/>
      <c r="CA137" s="72"/>
      <c r="CB137" s="72"/>
      <c r="CD137" s="74">
        <v>6.79</v>
      </c>
      <c r="CE137" s="69"/>
      <c r="CF137" s="69"/>
      <c r="CG137" s="69"/>
      <c r="CH137" s="69">
        <f t="shared" si="43"/>
        <v>0</v>
      </c>
      <c r="CI137" s="76"/>
      <c r="CJ137" s="76"/>
      <c r="CK137" s="177"/>
      <c r="CL137" s="70"/>
      <c r="CM137" s="76"/>
      <c r="CN137" s="77"/>
      <c r="CO137" s="77"/>
      <c r="CP137" s="77"/>
      <c r="CQ137" s="77"/>
      <c r="CR137" s="77"/>
      <c r="CS137" s="66"/>
      <c r="CT137" s="66"/>
      <c r="CU137" s="66"/>
      <c r="CV137" s="66"/>
      <c r="CW137" s="66"/>
      <c r="CX137" s="66"/>
      <c r="CY137" s="66"/>
      <c r="CZ137" s="66"/>
      <c r="DA137" s="168"/>
      <c r="DB137" s="67">
        <v>7.18</v>
      </c>
      <c r="DC137" s="69">
        <v>27.813402218507825</v>
      </c>
      <c r="DD137" s="69">
        <v>14.559703929465549</v>
      </c>
      <c r="DE137" s="69">
        <v>66.609022556390983</v>
      </c>
      <c r="DF137" s="69">
        <f t="shared" si="48"/>
        <v>13.253698289042276</v>
      </c>
      <c r="DG137" s="70">
        <v>71.601299999999995</v>
      </c>
      <c r="DH137" s="70"/>
      <c r="DI137" s="70"/>
      <c r="DJ137" s="177">
        <v>422.2441</v>
      </c>
      <c r="DK137" s="177">
        <f t="shared" si="44"/>
        <v>95.38494218999999</v>
      </c>
      <c r="DL137" s="70">
        <v>11.1241</v>
      </c>
      <c r="DM137" s="70">
        <v>107.6476</v>
      </c>
      <c r="DN137" s="71"/>
      <c r="DO137" s="71"/>
      <c r="DP137" s="180"/>
      <c r="DQ137" s="180"/>
      <c r="DR137" s="71"/>
      <c r="DS137" s="180"/>
      <c r="DT137" s="66"/>
      <c r="DU137" s="79">
        <v>39.6</v>
      </c>
      <c r="DV137" s="79">
        <f t="shared" si="49"/>
        <v>40.209827728997496</v>
      </c>
      <c r="DW137" s="119"/>
      <c r="DX137" s="79"/>
      <c r="DY137" s="136"/>
      <c r="DZ137" s="168"/>
      <c r="EA137" s="74">
        <v>7.19</v>
      </c>
      <c r="EB137" s="78"/>
      <c r="EC137" s="78"/>
      <c r="ED137" s="78"/>
      <c r="EE137" s="78">
        <f t="shared" si="35"/>
        <v>94.923286246928811</v>
      </c>
      <c r="EF137" s="79">
        <f t="shared" si="53"/>
        <v>55.483631476238216</v>
      </c>
      <c r="EG137" s="66"/>
      <c r="EH137" s="66"/>
      <c r="EI137" s="66"/>
      <c r="EJ137" s="79">
        <f t="shared" si="46"/>
        <v>86.930582055475369</v>
      </c>
      <c r="EK137" s="79">
        <f t="shared" si="52"/>
        <v>75.853742089068206</v>
      </c>
      <c r="EL137" s="66"/>
      <c r="EM137" s="66"/>
      <c r="EN137" s="66"/>
      <c r="EO137" s="66"/>
      <c r="EP137" s="79">
        <f t="shared" si="47"/>
        <v>89.250962843671616</v>
      </c>
    </row>
    <row r="138" spans="1:146" x14ac:dyDescent="0.3">
      <c r="A138" s="86">
        <v>44788</v>
      </c>
      <c r="B138" s="106">
        <f t="shared" si="29"/>
        <v>89</v>
      </c>
      <c r="C138" s="96">
        <v>303.82008813250263</v>
      </c>
      <c r="D138" s="93">
        <v>57.759878088603458</v>
      </c>
      <c r="E138" s="93">
        <v>21.633834586466165</v>
      </c>
      <c r="F138" s="96">
        <f t="shared" si="23"/>
        <v>246.06021004389919</v>
      </c>
      <c r="G138" s="70">
        <v>70.075400000000002</v>
      </c>
      <c r="J138" s="70">
        <v>0.20780000000000001</v>
      </c>
      <c r="K138" s="70">
        <f t="shared" si="42"/>
        <v>4.6942020000000001E-2</v>
      </c>
      <c r="L138" s="70">
        <v>12.2835</v>
      </c>
      <c r="M138" s="70">
        <v>32.6509</v>
      </c>
      <c r="T138" s="72"/>
      <c r="U138" s="73">
        <v>549</v>
      </c>
      <c r="V138" s="73"/>
      <c r="W138" s="72">
        <f t="shared" si="40"/>
        <v>887.47089748780695</v>
      </c>
      <c r="X138" s="72"/>
      <c r="Y138" s="72"/>
      <c r="Z138" s="72"/>
      <c r="AA138" s="72"/>
      <c r="AB138" s="72"/>
      <c r="AD138" s="74">
        <v>6.97</v>
      </c>
      <c r="AE138" s="97"/>
      <c r="AF138" s="97"/>
      <c r="AG138" s="97"/>
      <c r="AH138" s="96">
        <f t="shared" si="39"/>
        <v>0</v>
      </c>
      <c r="AS138" s="72"/>
      <c r="AT138" s="75"/>
      <c r="AU138" s="75"/>
      <c r="AV138" s="75"/>
      <c r="AW138" s="75"/>
      <c r="AX138" s="72"/>
      <c r="AY138" s="72"/>
      <c r="AZ138" s="72"/>
      <c r="BA138" s="72"/>
      <c r="BC138" s="74">
        <v>6.91</v>
      </c>
      <c r="BD138" s="93">
        <v>128.47895456617533</v>
      </c>
      <c r="BE138" s="93">
        <v>136.81071078698159</v>
      </c>
      <c r="BF138" s="93">
        <v>23.729323308270676</v>
      </c>
      <c r="BG138" s="88">
        <f t="shared" si="25"/>
        <v>-8.3317562208062554</v>
      </c>
      <c r="BH138" s="70">
        <v>62.112200000000001</v>
      </c>
      <c r="BM138" s="70">
        <v>31.099499999999999</v>
      </c>
      <c r="BN138" s="70">
        <v>0.55840000000000001</v>
      </c>
      <c r="BU138" s="72"/>
      <c r="BV138" s="72">
        <f>31.9+31.7</f>
        <v>63.599999999999994</v>
      </c>
      <c r="BW138" s="72"/>
      <c r="BX138" s="72">
        <f t="shared" si="50"/>
        <v>123.01925679734781</v>
      </c>
      <c r="BY138" s="72"/>
      <c r="BZ138" s="72"/>
      <c r="CA138" s="72"/>
      <c r="CB138" s="72"/>
      <c r="CD138" s="74">
        <v>6.9</v>
      </c>
      <c r="CE138" s="69"/>
      <c r="CF138" s="69"/>
      <c r="CG138" s="69"/>
      <c r="CH138" s="69">
        <f t="shared" si="43"/>
        <v>0</v>
      </c>
      <c r="CI138" s="76"/>
      <c r="CJ138" s="76"/>
      <c r="CK138" s="177"/>
      <c r="CL138" s="70"/>
      <c r="CM138" s="76"/>
      <c r="CN138" s="77"/>
      <c r="CO138" s="77"/>
      <c r="CP138" s="77"/>
      <c r="CQ138" s="77"/>
      <c r="CR138" s="77"/>
      <c r="CS138" s="66"/>
      <c r="CT138" s="66"/>
      <c r="CU138" s="66"/>
      <c r="CV138" s="66"/>
      <c r="CW138" s="66"/>
      <c r="CX138" s="66"/>
      <c r="CY138" s="66"/>
      <c r="CZ138" s="66"/>
      <c r="DA138" s="168"/>
      <c r="DB138" s="67"/>
      <c r="DC138" s="69"/>
      <c r="DD138" s="69"/>
      <c r="DE138" s="69"/>
      <c r="DF138" s="69"/>
      <c r="DG138" s="70"/>
      <c r="DH138" s="70"/>
      <c r="DI138" s="70"/>
      <c r="DJ138" s="177"/>
      <c r="DK138" s="177"/>
      <c r="DL138" s="70"/>
      <c r="DM138" s="70"/>
      <c r="DN138" s="71"/>
      <c r="DO138" s="71"/>
      <c r="DP138" s="180"/>
      <c r="DQ138" s="180"/>
      <c r="DR138" s="71"/>
      <c r="DS138" s="180"/>
      <c r="DT138" s="66"/>
      <c r="DU138" s="79">
        <v>55.3</v>
      </c>
      <c r="DV138" s="79"/>
      <c r="DW138" s="119"/>
      <c r="DX138" s="79"/>
      <c r="DY138" s="136"/>
      <c r="DZ138" s="168"/>
      <c r="EA138" s="74"/>
      <c r="EB138" s="78"/>
      <c r="EC138" s="78"/>
      <c r="ED138" s="78"/>
      <c r="EE138" s="78">
        <f t="shared" si="35"/>
        <v>103.38606401226748</v>
      </c>
      <c r="EF138" s="79">
        <f t="shared" si="53"/>
        <v>86.138220741031347</v>
      </c>
      <c r="EG138" s="66"/>
      <c r="EH138" s="66"/>
      <c r="EI138" s="66"/>
      <c r="EJ138" s="79"/>
      <c r="EK138" s="79"/>
      <c r="EL138" s="66"/>
      <c r="EM138" s="66"/>
      <c r="EN138" s="66"/>
      <c r="EO138" s="66"/>
      <c r="EP138" s="79"/>
    </row>
    <row r="139" spans="1:146" x14ac:dyDescent="0.3">
      <c r="A139" s="86">
        <v>44790</v>
      </c>
      <c r="B139" s="106">
        <f t="shared" si="29"/>
        <v>91</v>
      </c>
      <c r="C139" s="96">
        <v>180.19146026439751</v>
      </c>
      <c r="D139" s="93">
        <v>52.064874278872317</v>
      </c>
      <c r="E139" s="93">
        <v>21.218796992481202</v>
      </c>
      <c r="F139" s="96">
        <f t="shared" si="23"/>
        <v>128.1265859855252</v>
      </c>
      <c r="G139" s="70">
        <v>57.602800000000002</v>
      </c>
      <c r="L139" s="70">
        <v>10.3042</v>
      </c>
      <c r="M139" s="70">
        <v>33.216500000000003</v>
      </c>
      <c r="T139" s="72"/>
      <c r="U139" s="73">
        <v>334</v>
      </c>
      <c r="V139" s="73"/>
      <c r="W139" s="72">
        <f t="shared" si="40"/>
        <v>468.90087897982602</v>
      </c>
      <c r="X139" s="72"/>
      <c r="Y139" s="72"/>
      <c r="Z139" s="72"/>
      <c r="AA139" s="72"/>
      <c r="AB139" s="72"/>
      <c r="AD139" s="74">
        <v>6.89</v>
      </c>
      <c r="AE139" s="97"/>
      <c r="AF139" s="97"/>
      <c r="AG139" s="97"/>
      <c r="AH139" s="96">
        <f t="shared" si="39"/>
        <v>0</v>
      </c>
      <c r="AS139" s="72"/>
      <c r="AT139" s="75"/>
      <c r="AU139" s="75"/>
      <c r="AV139" s="75"/>
      <c r="AW139" s="75"/>
      <c r="AX139" s="72"/>
      <c r="AY139" s="72"/>
      <c r="AZ139" s="72"/>
      <c r="BA139" s="72"/>
      <c r="BB139" s="168">
        <v>414.31</v>
      </c>
      <c r="BC139" s="74">
        <v>6.86</v>
      </c>
      <c r="BD139" s="93">
        <v>120.16410879805503</v>
      </c>
      <c r="BE139" s="93">
        <v>117.11331228910417</v>
      </c>
      <c r="BF139" s="93">
        <v>21.045112781954888</v>
      </c>
      <c r="BG139" s="88">
        <f t="shared" si="25"/>
        <v>3.0507965089508531</v>
      </c>
      <c r="BH139" s="70">
        <v>60.205500000000001</v>
      </c>
      <c r="BM139" s="70">
        <v>28.307600000000001</v>
      </c>
      <c r="BN139" s="70">
        <v>1.8569</v>
      </c>
      <c r="BU139" s="72"/>
      <c r="BV139" s="72">
        <f>35.6+36</f>
        <v>71.599999999999994</v>
      </c>
      <c r="BW139" s="72"/>
      <c r="BX139" s="72">
        <f t="shared" si="50"/>
        <v>159.75644573263887</v>
      </c>
      <c r="BY139" s="72"/>
      <c r="BZ139" s="72"/>
      <c r="CA139" s="72"/>
      <c r="CB139" s="72"/>
      <c r="CD139" s="74">
        <v>6.78</v>
      </c>
      <c r="CE139" s="69"/>
      <c r="CF139" s="69"/>
      <c r="CG139" s="69"/>
      <c r="CH139" s="69">
        <f t="shared" si="43"/>
        <v>0</v>
      </c>
      <c r="CI139" s="76"/>
      <c r="CJ139" s="76"/>
      <c r="CK139" s="177"/>
      <c r="CL139" s="70"/>
      <c r="CM139" s="76"/>
      <c r="CN139" s="77"/>
      <c r="CO139" s="77"/>
      <c r="CP139" s="77"/>
      <c r="CQ139" s="77"/>
      <c r="CR139" s="77"/>
      <c r="CS139" s="66"/>
      <c r="CT139" s="66"/>
      <c r="CU139" s="66"/>
      <c r="CV139" s="66"/>
      <c r="CW139" s="66"/>
      <c r="CX139" s="66"/>
      <c r="CY139" s="66"/>
      <c r="CZ139" s="66"/>
      <c r="DA139" s="168">
        <v>66.14</v>
      </c>
      <c r="DB139" s="67">
        <v>7.08</v>
      </c>
      <c r="DC139" s="69">
        <v>24.44613280656435</v>
      </c>
      <c r="DD139" s="69">
        <v>5.7498639381735046</v>
      </c>
      <c r="DE139" s="69">
        <v>62.706766917293237</v>
      </c>
      <c r="DF139" s="69">
        <f t="shared" si="48"/>
        <v>18.696268868390845</v>
      </c>
      <c r="DG139" s="70">
        <v>64.855900000000005</v>
      </c>
      <c r="DH139" s="70"/>
      <c r="DI139" s="70"/>
      <c r="DJ139" s="177">
        <v>284.41899999999998</v>
      </c>
      <c r="DK139" s="177">
        <f t="shared" si="44"/>
        <v>64.250252099999997</v>
      </c>
      <c r="DL139" s="70">
        <v>4.6364999999999998</v>
      </c>
      <c r="DM139" s="70">
        <v>78.876099999999994</v>
      </c>
      <c r="DN139" s="71"/>
      <c r="DO139" s="71"/>
      <c r="DP139" s="180"/>
      <c r="DQ139" s="180"/>
      <c r="DR139" s="71"/>
      <c r="DS139" s="180"/>
      <c r="DT139" s="66"/>
      <c r="DU139" s="79">
        <v>68.3</v>
      </c>
      <c r="DV139" s="79">
        <f t="shared" si="49"/>
        <v>64.643159830867035</v>
      </c>
      <c r="DW139" s="119"/>
      <c r="DX139" s="79"/>
      <c r="DY139" s="136"/>
      <c r="DZ139" s="168"/>
      <c r="EA139" s="74">
        <v>6.82</v>
      </c>
      <c r="EB139" s="78"/>
      <c r="EC139" s="78"/>
      <c r="ED139" s="78"/>
      <c r="EE139" s="78">
        <f t="shared" si="35"/>
        <v>97.618920003616182</v>
      </c>
      <c r="EF139" s="79">
        <f t="shared" si="53"/>
        <v>65.929591328509289</v>
      </c>
      <c r="EG139" s="66"/>
      <c r="EH139" s="66"/>
      <c r="EI139" s="66"/>
      <c r="EJ139" s="79">
        <f t="shared" ref="EJ139:EJ170" si="54">(F139-DF139)/F139*100</f>
        <v>85.407970777818889</v>
      </c>
      <c r="EK139" s="79">
        <f>(BX139-DV139)/BX139*100</f>
        <v>59.536430887395376</v>
      </c>
      <c r="EL139" s="66"/>
      <c r="EM139" s="66"/>
      <c r="EN139" s="66"/>
      <c r="EO139" s="66"/>
      <c r="EP139" s="79">
        <f t="shared" ref="EP139:EP170" si="55">(W139-DV139)/W139*100</f>
        <v>86.213896640264508</v>
      </c>
    </row>
    <row r="140" spans="1:146" x14ac:dyDescent="0.3">
      <c r="A140" s="86">
        <v>44795</v>
      </c>
      <c r="B140" s="106">
        <f t="shared" si="29"/>
        <v>96</v>
      </c>
      <c r="C140" s="96">
        <v>152.77900084674008</v>
      </c>
      <c r="D140" s="93">
        <v>54.24427972929422</v>
      </c>
      <c r="E140" s="93">
        <v>31.690294438386044</v>
      </c>
      <c r="F140" s="96">
        <f t="shared" si="23"/>
        <v>98.534721117445855</v>
      </c>
      <c r="G140" s="70">
        <v>58.250300000000003</v>
      </c>
      <c r="L140" s="70">
        <v>0.76539999999999997</v>
      </c>
      <c r="M140" s="70">
        <v>37.921999999999997</v>
      </c>
      <c r="N140" s="71">
        <v>65.841200000000001</v>
      </c>
      <c r="O140" s="71">
        <f t="shared" si="27"/>
        <v>51.124501110369138</v>
      </c>
      <c r="P140" s="71">
        <v>46.442100000000003</v>
      </c>
      <c r="Q140" s="71">
        <v>22.949200000000001</v>
      </c>
      <c r="R140" s="71">
        <v>3.5630999999999999</v>
      </c>
      <c r="S140" s="71">
        <v>23.912199999999999</v>
      </c>
      <c r="T140" s="72"/>
      <c r="U140" s="73">
        <v>383</v>
      </c>
      <c r="V140" s="73"/>
      <c r="W140" s="72">
        <f t="shared" si="40"/>
        <v>363.87343219003884</v>
      </c>
      <c r="X140" s="72"/>
      <c r="Y140" s="72"/>
      <c r="Z140" s="72"/>
      <c r="AA140" s="72"/>
      <c r="AB140" s="72"/>
      <c r="AD140" s="74">
        <v>7.04</v>
      </c>
      <c r="AE140" s="97"/>
      <c r="AF140" s="97"/>
      <c r="AG140" s="97"/>
      <c r="AH140" s="96">
        <f t="shared" si="39"/>
        <v>0</v>
      </c>
      <c r="AS140" s="72"/>
      <c r="AT140" s="75"/>
      <c r="AU140" s="75"/>
      <c r="AV140" s="75"/>
      <c r="AW140" s="75"/>
      <c r="AX140" s="72"/>
      <c r="AY140" s="72"/>
      <c r="AZ140" s="72"/>
      <c r="BA140" s="72"/>
      <c r="BC140" s="74">
        <v>6.76</v>
      </c>
      <c r="BD140" s="93">
        <v>113.63928873835732</v>
      </c>
      <c r="BE140" s="93">
        <v>96.809539155655813</v>
      </c>
      <c r="BF140" s="93">
        <v>29.792802617230105</v>
      </c>
      <c r="BG140" s="88">
        <f t="shared" si="25"/>
        <v>16.82974958270151</v>
      </c>
      <c r="BH140" s="70">
        <v>61.728499999999997</v>
      </c>
      <c r="BM140" s="70">
        <v>21.461099999999998</v>
      </c>
      <c r="BN140" s="70">
        <v>9.3218999999999994</v>
      </c>
      <c r="BO140" s="71">
        <v>92.497699999999995</v>
      </c>
      <c r="BP140" s="71">
        <f t="shared" si="41"/>
        <v>71.82279129719069</v>
      </c>
      <c r="BQ140" s="71">
        <v>48.348500000000001</v>
      </c>
      <c r="BR140" s="71">
        <v>22.5855</v>
      </c>
      <c r="BS140" s="71">
        <v>3.4001999999999999</v>
      </c>
      <c r="BT140" s="71">
        <v>37.527900000000002</v>
      </c>
      <c r="BU140" s="72"/>
      <c r="BV140" s="72">
        <f>23.9+37.3</f>
        <v>61.199999999999996</v>
      </c>
      <c r="BW140" s="72"/>
      <c r="BX140" s="72">
        <f t="shared" si="50"/>
        <v>204.22801677816912</v>
      </c>
      <c r="BY140" s="72"/>
      <c r="BZ140" s="72"/>
      <c r="CA140" s="72"/>
      <c r="CB140" s="72"/>
      <c r="CD140" s="74">
        <v>6.81</v>
      </c>
      <c r="CE140" s="69"/>
      <c r="CF140" s="69"/>
      <c r="CG140" s="69"/>
      <c r="CH140" s="69">
        <f t="shared" si="43"/>
        <v>0</v>
      </c>
      <c r="CI140" s="76"/>
      <c r="CJ140" s="76"/>
      <c r="CK140" s="177"/>
      <c r="CL140" s="70"/>
      <c r="CM140" s="76"/>
      <c r="CN140" s="77"/>
      <c r="CO140" s="77"/>
      <c r="CP140" s="77"/>
      <c r="CQ140" s="77"/>
      <c r="CR140" s="77"/>
      <c r="CS140" s="66"/>
      <c r="CT140" s="66"/>
      <c r="CU140" s="66"/>
      <c r="CV140" s="66"/>
      <c r="CW140" s="66"/>
      <c r="CX140" s="66"/>
      <c r="CY140" s="66"/>
      <c r="CZ140" s="66"/>
      <c r="DA140" s="168"/>
      <c r="DB140" s="67">
        <v>6.61</v>
      </c>
      <c r="DC140" s="69">
        <v>10.736663844199832</v>
      </c>
      <c r="DD140" s="69">
        <v>2.4956493715758943</v>
      </c>
      <c r="DE140" s="69">
        <v>75.223555070883322</v>
      </c>
      <c r="DF140" s="69">
        <f t="shared" si="48"/>
        <v>8.241014472623938</v>
      </c>
      <c r="DG140" s="70">
        <v>61.909199999999998</v>
      </c>
      <c r="DH140" s="70"/>
      <c r="DI140" s="70"/>
      <c r="DJ140" s="177">
        <v>424.6703</v>
      </c>
      <c r="DK140" s="177">
        <f t="shared" si="44"/>
        <v>95.933020769999999</v>
      </c>
      <c r="DL140" s="70">
        <v>6.8761000000000001</v>
      </c>
      <c r="DM140" s="70">
        <v>47.061300000000003</v>
      </c>
      <c r="DN140" s="71">
        <v>0.2379</v>
      </c>
      <c r="DO140" s="71">
        <f t="shared" si="45"/>
        <v>0.18472504775363782</v>
      </c>
      <c r="DP140" s="180">
        <v>54.414499999999997</v>
      </c>
      <c r="DQ140" s="180">
        <v>25.628299999999999</v>
      </c>
      <c r="DR140" s="71">
        <v>4.468</v>
      </c>
      <c r="DS140" s="180">
        <v>100.87439999999999</v>
      </c>
      <c r="DT140" s="66"/>
      <c r="DU140" s="79">
        <v>25.6</v>
      </c>
      <c r="DV140" s="79">
        <f xml:space="preserve"> 4.4893*DF140 - 19.29</f>
        <v>17.706386271950649</v>
      </c>
      <c r="DW140" s="119"/>
      <c r="DX140" s="79"/>
      <c r="DY140" s="136"/>
      <c r="DZ140" s="168"/>
      <c r="EA140" s="74">
        <v>6.58</v>
      </c>
      <c r="EB140" s="78"/>
      <c r="EC140" s="78"/>
      <c r="ED140" s="78"/>
      <c r="EE140" s="78">
        <f t="shared" si="35"/>
        <v>82.919980498405494</v>
      </c>
      <c r="EF140" s="79">
        <f t="shared" si="53"/>
        <v>43.873886161738866</v>
      </c>
      <c r="EG140" s="66"/>
      <c r="EH140" s="66"/>
      <c r="EI140" s="66"/>
      <c r="EJ140" s="79">
        <f t="shared" si="54"/>
        <v>91.636435990110257</v>
      </c>
      <c r="EK140" s="79">
        <f>(BX140-DV140)/BX140*100</f>
        <v>91.330089499334861</v>
      </c>
      <c r="EL140" s="66"/>
      <c r="EM140" s="66"/>
      <c r="EN140" s="66"/>
      <c r="EO140" s="66"/>
      <c r="EP140" s="79">
        <f t="shared" si="55"/>
        <v>95.133916162721334</v>
      </c>
    </row>
    <row r="141" spans="1:146" x14ac:dyDescent="0.3">
      <c r="A141" s="86">
        <v>44797</v>
      </c>
      <c r="B141" s="106">
        <f t="shared" si="29"/>
        <v>98</v>
      </c>
      <c r="C141" s="96">
        <v>148.87722269263338</v>
      </c>
      <c r="D141" s="93">
        <v>61.79825974863035</v>
      </c>
      <c r="E141" s="93">
        <v>27.284623773173394</v>
      </c>
      <c r="F141" s="96">
        <f t="shared" si="23"/>
        <v>87.078962944003024</v>
      </c>
      <c r="G141" s="70">
        <v>76.521000000000001</v>
      </c>
      <c r="J141" s="70">
        <v>0.157</v>
      </c>
      <c r="K141" s="70">
        <f t="shared" si="42"/>
        <v>3.5466299999999999E-2</v>
      </c>
      <c r="L141" s="70">
        <v>4.0091000000000001</v>
      </c>
      <c r="M141" s="70">
        <v>75.22</v>
      </c>
      <c r="N141" s="71">
        <v>91.121700000000004</v>
      </c>
      <c r="O141" s="71">
        <f t="shared" si="27"/>
        <v>70.754352181137705</v>
      </c>
      <c r="P141" s="71">
        <v>50.346200000000003</v>
      </c>
      <c r="Q141" s="71">
        <v>20.076699999999999</v>
      </c>
      <c r="R141" s="71">
        <v>3.9495</v>
      </c>
      <c r="S141" s="71">
        <v>27.885000000000002</v>
      </c>
      <c r="T141" s="72"/>
      <c r="U141" s="117">
        <v>358</v>
      </c>
      <c r="V141" s="117"/>
      <c r="W141" s="72">
        <f t="shared" si="40"/>
        <v>323.21465528085554</v>
      </c>
      <c r="X141" s="72"/>
      <c r="Y141" s="72"/>
      <c r="Z141" s="72"/>
      <c r="AA141" s="72"/>
      <c r="AB141" s="72"/>
      <c r="AD141" s="74">
        <v>6.93</v>
      </c>
      <c r="AE141" s="97"/>
      <c r="AF141" s="97"/>
      <c r="AG141" s="97"/>
      <c r="AH141" s="96">
        <f t="shared" si="39"/>
        <v>0</v>
      </c>
      <c r="AS141" s="72"/>
      <c r="AT141" s="75"/>
      <c r="AU141" s="75"/>
      <c r="AV141" s="75"/>
      <c r="AW141" s="75"/>
      <c r="AX141" s="72"/>
      <c r="AY141" s="72"/>
      <c r="AZ141" s="72"/>
      <c r="BA141" s="72"/>
      <c r="BC141" s="74">
        <v>6.89</v>
      </c>
      <c r="BD141" s="93">
        <v>112.54191363251483</v>
      </c>
      <c r="BE141" s="93">
        <v>94.592330003222671</v>
      </c>
      <c r="BF141" s="93">
        <v>32.955288985823337</v>
      </c>
      <c r="BG141" s="88">
        <f t="shared" si="25"/>
        <v>17.949583629292164</v>
      </c>
      <c r="BH141" s="70">
        <v>61.6036</v>
      </c>
      <c r="BM141" s="70">
        <v>19.485299999999999</v>
      </c>
      <c r="BN141" s="70">
        <v>13.289199999999999</v>
      </c>
      <c r="BO141" s="71">
        <v>96.771799999999999</v>
      </c>
      <c r="BP141" s="71">
        <f t="shared" si="41"/>
        <v>75.141552653238705</v>
      </c>
      <c r="BQ141" s="71">
        <v>49.2654</v>
      </c>
      <c r="BR141" s="71">
        <v>20.3596</v>
      </c>
      <c r="BS141" s="71">
        <v>3.5895999999999999</v>
      </c>
      <c r="BT141" s="71">
        <v>42.645000000000003</v>
      </c>
      <c r="BU141" s="72"/>
      <c r="BV141" s="101">
        <f>42.8+42.6</f>
        <v>85.4</v>
      </c>
      <c r="BW141" s="101"/>
      <c r="BX141" s="72">
        <f t="shared" si="50"/>
        <v>207.84228116354046</v>
      </c>
      <c r="BY141" s="72"/>
      <c r="BZ141" s="72"/>
      <c r="CA141" s="72"/>
      <c r="CB141" s="72"/>
      <c r="CD141" s="74">
        <v>6.83</v>
      </c>
      <c r="CE141" s="69"/>
      <c r="CF141" s="69"/>
      <c r="CG141" s="69"/>
      <c r="CH141" s="69">
        <f t="shared" si="43"/>
        <v>0</v>
      </c>
      <c r="CI141" s="76"/>
      <c r="CJ141" s="76"/>
      <c r="CK141" s="177"/>
      <c r="CL141" s="70"/>
      <c r="CM141" s="76"/>
      <c r="CN141" s="77"/>
      <c r="CO141" s="77"/>
      <c r="CP141" s="77"/>
      <c r="CQ141" s="77"/>
      <c r="CR141" s="77"/>
      <c r="CS141" s="66"/>
      <c r="CT141" s="66"/>
      <c r="CU141" s="66"/>
      <c r="CV141" s="66"/>
      <c r="CW141" s="66"/>
      <c r="CX141" s="66"/>
      <c r="CY141" s="66"/>
      <c r="CZ141" s="66"/>
      <c r="DA141" s="168"/>
      <c r="DB141" s="67">
        <v>6.98</v>
      </c>
      <c r="DC141" s="69">
        <v>13.574936494496189</v>
      </c>
      <c r="DD141" s="69">
        <v>2.1192394456977119</v>
      </c>
      <c r="DE141" s="69">
        <v>76.68484187568157</v>
      </c>
      <c r="DF141" s="69">
        <f t="shared" si="48"/>
        <v>11.455697048798477</v>
      </c>
      <c r="DG141" s="70">
        <v>59.596699999999998</v>
      </c>
      <c r="DH141" s="70"/>
      <c r="DI141" s="70"/>
      <c r="DJ141" s="177">
        <v>364.59030000000001</v>
      </c>
      <c r="DK141" s="177">
        <f t="shared" si="44"/>
        <v>82.360948769999993</v>
      </c>
      <c r="DL141" s="70">
        <v>9.3538999999999994</v>
      </c>
      <c r="DM141" s="70">
        <v>40.309100000000001</v>
      </c>
      <c r="DN141" s="71">
        <v>0.38929999999999998</v>
      </c>
      <c r="DO141" s="71">
        <f t="shared" si="45"/>
        <v>0.30228440979609583</v>
      </c>
      <c r="DP141" s="180">
        <v>51.770200000000003</v>
      </c>
      <c r="DQ141" s="180">
        <v>22.2117</v>
      </c>
      <c r="DR141" s="71">
        <v>4.0419999999999998</v>
      </c>
      <c r="DS141" s="180">
        <v>86.727000000000004</v>
      </c>
      <c r="DT141" s="66"/>
      <c r="DU141" s="79">
        <v>21.2</v>
      </c>
      <c r="DV141" s="79">
        <f t="shared" si="49"/>
        <v>32.138060761171005</v>
      </c>
      <c r="DW141" s="119"/>
      <c r="DX141" s="79"/>
      <c r="DY141" s="136"/>
      <c r="DZ141" s="168"/>
      <c r="EA141" s="74">
        <v>6.78</v>
      </c>
      <c r="EB141" s="78"/>
      <c r="EC141" s="78"/>
      <c r="ED141" s="78"/>
      <c r="EE141" s="78">
        <f t="shared" si="35"/>
        <v>79.387003447853616</v>
      </c>
      <c r="EF141" s="79">
        <f t="shared" si="53"/>
        <v>35.695279354540062</v>
      </c>
      <c r="EG141" s="66"/>
      <c r="EH141" s="66"/>
      <c r="EI141" s="66"/>
      <c r="EJ141" s="79">
        <f t="shared" si="54"/>
        <v>86.844472348430273</v>
      </c>
      <c r="EK141" s="79">
        <f>(BX141-DV141)/BX141*100</f>
        <v>84.537284434497124</v>
      </c>
      <c r="EL141" s="66"/>
      <c r="EM141" s="66"/>
      <c r="EN141" s="66"/>
      <c r="EO141" s="66"/>
      <c r="EP141" s="79">
        <f t="shared" si="55"/>
        <v>90.05674395140133</v>
      </c>
    </row>
    <row r="142" spans="1:146" x14ac:dyDescent="0.3">
      <c r="A142" s="86">
        <v>44799</v>
      </c>
      <c r="B142" s="106">
        <f t="shared" si="29"/>
        <v>100</v>
      </c>
      <c r="C142" s="96">
        <v>505.77054962280789</v>
      </c>
      <c r="D142" s="93">
        <v>142.04012908657216</v>
      </c>
      <c r="E142" s="93">
        <v>35.889052659788284</v>
      </c>
      <c r="F142" s="96">
        <f t="shared" si="23"/>
        <v>363.73042053623573</v>
      </c>
      <c r="G142" s="70">
        <v>70.471000000000004</v>
      </c>
      <c r="J142" s="70">
        <v>0.1948</v>
      </c>
      <c r="K142" s="70">
        <f t="shared" si="42"/>
        <v>4.4005320000000001E-2</v>
      </c>
      <c r="M142" s="70">
        <v>59.666800000000002</v>
      </c>
      <c r="N142" s="71">
        <v>42.117800000000003</v>
      </c>
      <c r="O142" s="71">
        <f t="shared" si="27"/>
        <v>32.703710030593392</v>
      </c>
      <c r="P142" s="71">
        <v>484.17700000000002</v>
      </c>
      <c r="Q142" s="71">
        <v>20.193000000000001</v>
      </c>
      <c r="R142" s="71">
        <v>3.8492000000000002</v>
      </c>
      <c r="S142" s="71">
        <v>27.7182</v>
      </c>
      <c r="T142" s="72"/>
      <c r="U142" s="73"/>
      <c r="V142" s="73"/>
      <c r="W142" s="72">
        <f t="shared" si="40"/>
        <v>1305.1060085672077</v>
      </c>
      <c r="X142" s="72"/>
      <c r="Y142" s="72"/>
      <c r="Z142" s="72"/>
      <c r="AA142" s="72"/>
      <c r="AB142" s="72"/>
      <c r="AD142" s="74">
        <v>7.06</v>
      </c>
      <c r="AE142" s="97"/>
      <c r="AF142" s="97"/>
      <c r="AG142" s="97"/>
      <c r="AH142" s="96">
        <f t="shared" si="39"/>
        <v>0</v>
      </c>
      <c r="AS142" s="72"/>
      <c r="AT142" s="75"/>
      <c r="AU142" s="75"/>
      <c r="AV142" s="75"/>
      <c r="AW142" s="75"/>
      <c r="AX142" s="72"/>
      <c r="AY142" s="72"/>
      <c r="AZ142" s="72"/>
      <c r="BA142" s="72"/>
      <c r="BC142" s="74">
        <v>6.89</v>
      </c>
      <c r="BD142" s="93">
        <v>215.67551680219458</v>
      </c>
      <c r="BE142" s="93">
        <v>163.60881156166687</v>
      </c>
      <c r="BF142" s="93">
        <v>38.300951360042873</v>
      </c>
      <c r="BG142" s="88">
        <f t="shared" si="25"/>
        <v>52.06670524052771</v>
      </c>
      <c r="BH142" s="70">
        <v>67.969399999999993</v>
      </c>
      <c r="BM142" s="70">
        <v>14.8492</v>
      </c>
      <c r="BN142" s="70">
        <v>11.9391</v>
      </c>
      <c r="BO142" s="71">
        <v>77.345399999999998</v>
      </c>
      <c r="BP142" s="71">
        <f t="shared" si="41"/>
        <v>60.057304365381327</v>
      </c>
      <c r="BQ142" s="71">
        <v>174.6037</v>
      </c>
      <c r="BR142" s="71">
        <v>19.680099999999999</v>
      </c>
      <c r="BS142" s="71">
        <v>4.1044999999999998</v>
      </c>
      <c r="BT142" s="71">
        <v>55.457299999999996</v>
      </c>
      <c r="BU142" s="72"/>
      <c r="BV142" s="72"/>
      <c r="BW142" s="72"/>
      <c r="BX142" s="72">
        <f t="shared" si="50"/>
        <v>317.95529116380317</v>
      </c>
      <c r="BY142" s="72"/>
      <c r="BZ142" s="72"/>
      <c r="CA142" s="72"/>
      <c r="CB142" s="72"/>
      <c r="CD142" s="74">
        <v>6.9</v>
      </c>
      <c r="CE142" s="69"/>
      <c r="CF142" s="69"/>
      <c r="CG142" s="69"/>
      <c r="CH142" s="69">
        <f t="shared" si="43"/>
        <v>0</v>
      </c>
      <c r="CI142" s="76"/>
      <c r="CJ142" s="76"/>
      <c r="CK142" s="177"/>
      <c r="CL142" s="70"/>
      <c r="CM142" s="76"/>
      <c r="CN142" s="77"/>
      <c r="CO142" s="77"/>
      <c r="CP142" s="77"/>
      <c r="CQ142" s="77"/>
      <c r="CR142" s="77"/>
      <c r="CS142" s="66"/>
      <c r="CT142" s="66"/>
      <c r="CU142" s="66"/>
      <c r="CV142" s="66"/>
      <c r="CW142" s="66"/>
      <c r="CX142" s="66"/>
      <c r="CY142" s="66"/>
      <c r="CZ142" s="66"/>
      <c r="DA142" s="168"/>
      <c r="DB142" s="67">
        <v>7.57</v>
      </c>
      <c r="DC142" s="69">
        <v>29.579700205741158</v>
      </c>
      <c r="DD142" s="69">
        <v>22.191665497404234</v>
      </c>
      <c r="DE142" s="69">
        <v>65.748358568940091</v>
      </c>
      <c r="DF142" s="69">
        <f t="shared" si="48"/>
        <v>7.3880347083369244</v>
      </c>
      <c r="DG142" s="70">
        <v>66.188900000000004</v>
      </c>
      <c r="DH142" s="70">
        <v>0.65739999999999998</v>
      </c>
      <c r="DI142" s="70">
        <f>DH142/3.28443</f>
        <v>0.20015649595211346</v>
      </c>
      <c r="DJ142" s="177">
        <v>362.09160000000003</v>
      </c>
      <c r="DK142" s="177">
        <f t="shared" si="44"/>
        <v>81.796492440000009</v>
      </c>
      <c r="DL142" s="70">
        <v>3.8473999999999999</v>
      </c>
      <c r="DM142" s="70">
        <v>72.137600000000006</v>
      </c>
      <c r="DN142" s="71">
        <v>0.29170000000000001</v>
      </c>
      <c r="DO142" s="71">
        <f t="shared" si="45"/>
        <v>0.22649977482024444</v>
      </c>
      <c r="DP142" s="180">
        <v>143.3398</v>
      </c>
      <c r="DQ142" s="180">
        <v>21.121600000000001</v>
      </c>
      <c r="DR142" s="71">
        <v>3.5196999999999998</v>
      </c>
      <c r="DS142" s="180">
        <v>64.282200000000003</v>
      </c>
      <c r="DT142" s="66"/>
      <c r="DU142" s="79"/>
      <c r="DV142" s="79">
        <f t="shared" si="49"/>
        <v>13.877104216136956</v>
      </c>
      <c r="DW142" s="119"/>
      <c r="DX142" s="79"/>
      <c r="DY142" s="136"/>
      <c r="DZ142" s="168"/>
      <c r="EA142" s="74">
        <v>7.77</v>
      </c>
      <c r="EB142" s="78"/>
      <c r="EC142" s="78"/>
      <c r="ED142" s="78"/>
      <c r="EE142" s="78">
        <f t="shared" si="35"/>
        <v>85.68535863352659</v>
      </c>
      <c r="EF142" s="79">
        <f t="shared" si="53"/>
        <v>75.637588894953751</v>
      </c>
      <c r="EG142" s="66"/>
      <c r="EH142" s="66"/>
      <c r="EI142" s="66"/>
      <c r="EJ142" s="79">
        <f t="shared" si="54"/>
        <v>97.968815834143044</v>
      </c>
      <c r="EK142" s="79">
        <f t="shared" ref="EK142:EK170" si="56">(BX142-DV142)/BX142*100</f>
        <v>95.635517130303768</v>
      </c>
      <c r="EL142" s="66"/>
      <c r="EM142" s="66"/>
      <c r="EN142" s="66"/>
      <c r="EO142" s="66"/>
      <c r="EP142" s="79">
        <f t="shared" si="55"/>
        <v>98.936706740675291</v>
      </c>
    </row>
    <row r="143" spans="1:146" x14ac:dyDescent="0.3">
      <c r="A143" s="86">
        <v>44802</v>
      </c>
      <c r="B143" s="106">
        <f t="shared" si="29"/>
        <v>103</v>
      </c>
      <c r="C143" s="96">
        <v>137.6584696776722</v>
      </c>
      <c r="D143" s="93">
        <v>63.291707590851672</v>
      </c>
      <c r="E143" s="93">
        <v>37.505024788958863</v>
      </c>
      <c r="F143" s="96">
        <f t="shared" si="23"/>
        <v>74.366762086820529</v>
      </c>
      <c r="G143" s="70">
        <v>52.676200000000001</v>
      </c>
      <c r="J143" s="70">
        <v>0.19670000000000001</v>
      </c>
      <c r="K143" s="70">
        <f t="shared" si="42"/>
        <v>4.443453E-2</v>
      </c>
      <c r="L143" s="70">
        <v>5.5530999999999997</v>
      </c>
      <c r="M143" s="70">
        <v>28.105699999999999</v>
      </c>
      <c r="N143" s="71">
        <v>73.345500000000001</v>
      </c>
      <c r="O143" s="71">
        <f t="shared" si="27"/>
        <v>56.951454350628175</v>
      </c>
      <c r="P143" s="71">
        <v>48.0989</v>
      </c>
      <c r="Q143" s="71">
        <v>18.717700000000001</v>
      </c>
      <c r="R143" s="71">
        <v>3.0503999999999998</v>
      </c>
      <c r="S143" s="71">
        <v>24.3538</v>
      </c>
      <c r="T143" s="72"/>
      <c r="U143" s="73"/>
      <c r="V143" s="73"/>
      <c r="W143" s="72">
        <f t="shared" si="40"/>
        <v>278.09651199854341</v>
      </c>
      <c r="X143" s="72"/>
      <c r="Y143" s="72"/>
      <c r="Z143" s="72"/>
      <c r="AA143" s="72"/>
      <c r="AB143" s="72"/>
      <c r="AD143" s="74">
        <v>7.18</v>
      </c>
      <c r="AE143" s="97"/>
      <c r="AF143" s="97"/>
      <c r="AG143" s="97"/>
      <c r="AH143" s="96">
        <f t="shared" si="39"/>
        <v>0</v>
      </c>
      <c r="AS143" s="72"/>
      <c r="AT143" s="75"/>
      <c r="AU143" s="75"/>
      <c r="AV143" s="75"/>
      <c r="AW143" s="75"/>
      <c r="AX143" s="72"/>
      <c r="AY143" s="72"/>
      <c r="AZ143" s="72"/>
      <c r="BA143" s="72"/>
      <c r="BC143" s="74">
        <v>6.92</v>
      </c>
      <c r="BD143" s="93">
        <v>147.85147447829922</v>
      </c>
      <c r="BE143" s="93">
        <v>155.9814788831205</v>
      </c>
      <c r="BF143" s="93">
        <v>34.948412166688996</v>
      </c>
      <c r="BG143" s="88">
        <f t="shared" si="25"/>
        <v>-8.1300044048212783</v>
      </c>
      <c r="BH143" s="70">
        <v>55.473799999999997</v>
      </c>
      <c r="BM143" s="70">
        <v>19.7803</v>
      </c>
      <c r="BN143" s="70">
        <v>4.5023999999999997</v>
      </c>
      <c r="BO143" s="71">
        <v>84.938599999999994</v>
      </c>
      <c r="BP143" s="71">
        <f t="shared" si="41"/>
        <v>65.9532868479493</v>
      </c>
      <c r="BQ143" s="71">
        <v>78.512200000000007</v>
      </c>
      <c r="BR143" s="71">
        <v>18.820599999999999</v>
      </c>
      <c r="BS143" s="71">
        <v>4.2035</v>
      </c>
      <c r="BT143" s="71">
        <v>112.8566</v>
      </c>
      <c r="BU143" s="72"/>
      <c r="BV143" s="72"/>
      <c r="BW143" s="72"/>
      <c r="BX143" s="72">
        <f t="shared" si="50"/>
        <v>123.67041078343932</v>
      </c>
      <c r="BY143" s="72"/>
      <c r="BZ143" s="72"/>
      <c r="CA143" s="72"/>
      <c r="CB143" s="72"/>
      <c r="CD143" s="74">
        <v>6.83</v>
      </c>
      <c r="CE143" s="69"/>
      <c r="CF143" s="69"/>
      <c r="CG143" s="69"/>
      <c r="CH143" s="69">
        <f t="shared" si="43"/>
        <v>0</v>
      </c>
      <c r="CI143" s="76"/>
      <c r="CJ143" s="76"/>
      <c r="CK143" s="177"/>
      <c r="CL143" s="70"/>
      <c r="CM143" s="76"/>
      <c r="CN143" s="77"/>
      <c r="CO143" s="77"/>
      <c r="CP143" s="77"/>
      <c r="CQ143" s="77"/>
      <c r="CR143" s="77"/>
      <c r="CS143" s="66"/>
      <c r="CT143" s="66"/>
      <c r="CU143" s="66"/>
      <c r="CV143" s="66"/>
      <c r="CW143" s="66"/>
      <c r="CX143" s="66"/>
      <c r="CY143" s="66"/>
      <c r="CZ143" s="66"/>
      <c r="DA143" s="168"/>
      <c r="DB143" s="67">
        <v>7.86</v>
      </c>
      <c r="DC143" s="69">
        <v>57.936710100911142</v>
      </c>
      <c r="DD143" s="69">
        <v>52.608390627192357</v>
      </c>
      <c r="DE143" s="69">
        <v>72.308723033632575</v>
      </c>
      <c r="DF143" s="69">
        <f t="shared" si="48"/>
        <v>5.3283194737187856</v>
      </c>
      <c r="DG143" s="70">
        <v>59.924399999999999</v>
      </c>
      <c r="DH143" s="70">
        <v>0.2505</v>
      </c>
      <c r="DI143" s="70">
        <f t="shared" ref="DI143:DI153" si="57">DH143/3.28443</f>
        <v>7.6268941642842134E-2</v>
      </c>
      <c r="DJ143" s="177">
        <v>363.4479</v>
      </c>
      <c r="DK143" s="177">
        <f t="shared" si="44"/>
        <v>82.10288061</v>
      </c>
      <c r="DL143" s="70">
        <v>1.6975</v>
      </c>
      <c r="DM143" s="70">
        <v>74.643000000000001</v>
      </c>
      <c r="DN143" s="71">
        <v>0.34039999999999998</v>
      </c>
      <c r="DO143" s="71">
        <f t="shared" si="45"/>
        <v>0.26431444411659649</v>
      </c>
      <c r="DP143" s="180">
        <v>111.6876</v>
      </c>
      <c r="DQ143" s="180">
        <v>21.872</v>
      </c>
      <c r="DR143" s="71">
        <v>5.0477999999999996</v>
      </c>
      <c r="DS143" s="180">
        <v>142.11869999999999</v>
      </c>
      <c r="DT143" s="66"/>
      <c r="DU143" s="79"/>
      <c r="DV143" s="79">
        <f t="shared" si="49"/>
        <v>4.6304246133657436</v>
      </c>
      <c r="DW143" s="119"/>
      <c r="DX143" s="79"/>
      <c r="DY143" s="136"/>
      <c r="DZ143" s="168"/>
      <c r="EA143" s="74">
        <v>8.2200000000000006</v>
      </c>
      <c r="EB143" s="78"/>
      <c r="EC143" s="78"/>
      <c r="ED143" s="78"/>
      <c r="EE143" s="78">
        <f t="shared" si="35"/>
        <v>110.9323092423061</v>
      </c>
      <c r="EF143" s="79">
        <f t="shared" si="53"/>
        <v>55.529679284835098</v>
      </c>
      <c r="EG143" s="66"/>
      <c r="EH143" s="66"/>
      <c r="EI143" s="66"/>
      <c r="EJ143" s="79">
        <f t="shared" si="54"/>
        <v>92.835079376592788</v>
      </c>
      <c r="EK143" s="79">
        <f t="shared" si="56"/>
        <v>96.25583469478876</v>
      </c>
      <c r="EL143" s="66"/>
      <c r="EM143" s="66"/>
      <c r="EN143" s="66"/>
      <c r="EO143" s="66"/>
      <c r="EP143" s="79">
        <f t="shared" si="55"/>
        <v>98.334957680666633</v>
      </c>
    </row>
    <row r="144" spans="1:146" x14ac:dyDescent="0.3">
      <c r="A144" s="86">
        <v>44804</v>
      </c>
      <c r="B144" s="106">
        <f t="shared" si="29"/>
        <v>105</v>
      </c>
      <c r="C144" s="96">
        <v>218.99088860585874</v>
      </c>
      <c r="D144" s="93">
        <v>48.744212150975159</v>
      </c>
      <c r="E144" s="93">
        <v>31.740586895350397</v>
      </c>
      <c r="F144" s="96">
        <f t="shared" ref="F144:F169" si="58">C144-D144</f>
        <v>170.24667645488358</v>
      </c>
      <c r="G144" s="70">
        <v>61.758600000000001</v>
      </c>
      <c r="M144" s="70">
        <v>24.707599999999999</v>
      </c>
      <c r="N144" s="71">
        <v>62.406700000000001</v>
      </c>
      <c r="O144" s="71">
        <f t="shared" si="27"/>
        <v>48.457673970773222</v>
      </c>
      <c r="P144" s="71">
        <v>49.609400000000001</v>
      </c>
      <c r="Q144" s="71">
        <v>22.374500000000001</v>
      </c>
      <c r="R144" s="71">
        <v>3.2075</v>
      </c>
      <c r="S144" s="71">
        <v>24.922999999999998</v>
      </c>
      <c r="T144" s="72"/>
      <c r="U144" s="73"/>
      <c r="V144" s="73"/>
      <c r="W144" s="72">
        <f t="shared" si="40"/>
        <v>618.39350407367283</v>
      </c>
      <c r="X144" s="72"/>
      <c r="Y144" s="72"/>
      <c r="Z144" s="72"/>
      <c r="AA144" s="72"/>
      <c r="AB144" s="72"/>
      <c r="AD144" s="74">
        <v>7.19</v>
      </c>
      <c r="AE144" s="97"/>
      <c r="AF144" s="97"/>
      <c r="AG144" s="97"/>
      <c r="AH144" s="96">
        <f t="shared" si="39"/>
        <v>0</v>
      </c>
      <c r="AS144" s="72"/>
      <c r="AT144" s="75"/>
      <c r="AU144" s="75"/>
      <c r="AV144" s="75"/>
      <c r="AW144" s="75"/>
      <c r="AX144" s="72"/>
      <c r="AY144" s="72"/>
      <c r="AZ144" s="72"/>
      <c r="BA144" s="72"/>
      <c r="BC144" s="74">
        <v>6.7</v>
      </c>
      <c r="BD144" s="93">
        <v>135.61281473498579</v>
      </c>
      <c r="BE144" s="93">
        <v>145.42444226182121</v>
      </c>
      <c r="BF144" s="93">
        <v>29.642235026128898</v>
      </c>
      <c r="BG144" s="88">
        <f t="shared" ref="BG144:BG169" si="59">BD144-BE144</f>
        <v>-9.8116275268354229</v>
      </c>
      <c r="BH144" s="70">
        <v>54.861400000000003</v>
      </c>
      <c r="BK144" s="70">
        <v>0.2051</v>
      </c>
      <c r="BL144" s="70">
        <f t="shared" si="28"/>
        <v>4.6332089999999999E-2</v>
      </c>
      <c r="BM144" s="70">
        <v>14.5055</v>
      </c>
      <c r="BN144" s="70">
        <v>1.7472000000000001</v>
      </c>
      <c r="BO144" s="71">
        <v>60.926600000000001</v>
      </c>
      <c r="BP144" s="71">
        <f t="shared" si="41"/>
        <v>47.308403087292099</v>
      </c>
      <c r="BQ144" s="71">
        <v>59.640900000000002</v>
      </c>
      <c r="BR144" s="71">
        <v>20.171800000000001</v>
      </c>
      <c r="BS144" s="71">
        <v>3.4994000000000001</v>
      </c>
      <c r="BT144" s="71">
        <v>120.0249</v>
      </c>
      <c r="BU144" s="72"/>
      <c r="BV144" s="72"/>
      <c r="BW144" s="72"/>
      <c r="BX144" s="72">
        <f t="shared" si="50"/>
        <v>118.24297215713867</v>
      </c>
      <c r="BY144" s="72"/>
      <c r="BZ144" s="72"/>
      <c r="CA144" s="72"/>
      <c r="CB144" s="72"/>
      <c r="CD144" s="74">
        <v>6.79</v>
      </c>
      <c r="CE144" s="69"/>
      <c r="CF144" s="69"/>
      <c r="CG144" s="69"/>
      <c r="CH144" s="69">
        <f t="shared" si="43"/>
        <v>0</v>
      </c>
      <c r="CI144" s="76"/>
      <c r="CJ144" s="76"/>
      <c r="CK144" s="177"/>
      <c r="CL144" s="70"/>
      <c r="CM144" s="76"/>
      <c r="CN144" s="77"/>
      <c r="CO144" s="77"/>
      <c r="CP144" s="77"/>
      <c r="CQ144" s="77"/>
      <c r="CR144" s="77"/>
      <c r="CS144" s="66"/>
      <c r="CT144" s="66"/>
      <c r="CU144" s="66"/>
      <c r="CV144" s="66"/>
      <c r="CW144" s="66"/>
      <c r="CX144" s="66"/>
      <c r="CY144" s="66"/>
      <c r="CZ144" s="66"/>
      <c r="DA144" s="168"/>
      <c r="DB144" s="67">
        <v>8.06</v>
      </c>
      <c r="DC144" s="69">
        <v>63.579896149701177</v>
      </c>
      <c r="DD144" s="69">
        <v>56.83457275150834</v>
      </c>
      <c r="DE144" s="69">
        <v>49.902184108267456</v>
      </c>
      <c r="DF144" s="69">
        <f t="shared" si="48"/>
        <v>6.7453233981928378</v>
      </c>
      <c r="DG144" s="70">
        <v>57.532499999999999</v>
      </c>
      <c r="DH144" s="70"/>
      <c r="DI144" s="70"/>
      <c r="DJ144" s="177">
        <v>250.12039999999999</v>
      </c>
      <c r="DK144" s="177">
        <f t="shared" si="44"/>
        <v>56.502198359999994</v>
      </c>
      <c r="DL144" s="70">
        <v>1.1869000000000001</v>
      </c>
      <c r="DM144" s="70">
        <v>63.380499999999998</v>
      </c>
      <c r="DN144" s="71">
        <v>0.13500000000000001</v>
      </c>
      <c r="DO144" s="71">
        <f t="shared" si="45"/>
        <v>0.10482505862438464</v>
      </c>
      <c r="DP144" s="180">
        <v>78.575199999999995</v>
      </c>
      <c r="DQ144" s="180">
        <v>21.953499999999998</v>
      </c>
      <c r="DR144" s="71">
        <v>4.3872999999999998</v>
      </c>
      <c r="DS144" s="180">
        <v>146.9965</v>
      </c>
      <c r="DT144" s="66"/>
      <c r="DU144" s="79"/>
      <c r="DV144" s="79">
        <f t="shared" si="49"/>
        <v>10.991780331507108</v>
      </c>
      <c r="DW144" s="119"/>
      <c r="DX144" s="79"/>
      <c r="DY144" s="136"/>
      <c r="DZ144" s="168"/>
      <c r="EA144" s="74">
        <v>8.3800000000000008</v>
      </c>
      <c r="EB144" s="78"/>
      <c r="EC144" s="78"/>
      <c r="ED144" s="78"/>
      <c r="EE144" s="78">
        <f t="shared" si="35"/>
        <v>105.76318300665068</v>
      </c>
      <c r="EF144" s="79">
        <f t="shared" si="53"/>
        <v>80.879008046136974</v>
      </c>
      <c r="EG144" s="66"/>
      <c r="EH144" s="66"/>
      <c r="EI144" s="66"/>
      <c r="EJ144" s="79">
        <f t="shared" si="54"/>
        <v>96.037911847295064</v>
      </c>
      <c r="EK144" s="79">
        <f t="shared" si="56"/>
        <v>90.704073036239635</v>
      </c>
      <c r="EL144" s="66"/>
      <c r="EM144" s="66"/>
      <c r="EN144" s="66"/>
      <c r="EO144" s="66"/>
      <c r="EP144" s="79">
        <f t="shared" si="55"/>
        <v>98.222526553222394</v>
      </c>
    </row>
    <row r="145" spans="1:146" x14ac:dyDescent="0.3">
      <c r="A145" s="86">
        <v>44806</v>
      </c>
      <c r="B145" s="106">
        <f t="shared" si="29"/>
        <v>107</v>
      </c>
      <c r="C145" s="96">
        <v>199.62770647594789</v>
      </c>
      <c r="D145" s="93">
        <v>50.714185491791767</v>
      </c>
      <c r="E145" s="93">
        <v>34.924293179686451</v>
      </c>
      <c r="F145" s="96">
        <f t="shared" si="58"/>
        <v>148.91352098415612</v>
      </c>
      <c r="G145" s="70">
        <v>104.54130000000001</v>
      </c>
      <c r="J145" s="70">
        <v>0.13350000000000001</v>
      </c>
      <c r="K145" s="70">
        <f t="shared" si="42"/>
        <v>3.0157650000000001E-2</v>
      </c>
      <c r="L145" s="70">
        <v>1.3255999999999999</v>
      </c>
      <c r="M145" s="70">
        <v>58.186599999999999</v>
      </c>
      <c r="N145" s="71">
        <v>69.890799999999999</v>
      </c>
      <c r="O145" s="71">
        <f t="shared" si="27"/>
        <v>54.268942276334386</v>
      </c>
      <c r="P145" s="71">
        <v>69.989400000000003</v>
      </c>
      <c r="Q145" s="71">
        <v>19.887599999999999</v>
      </c>
      <c r="R145" s="71">
        <v>3.6356999999999999</v>
      </c>
      <c r="S145" s="71">
        <v>27.615100000000002</v>
      </c>
      <c r="T145" s="72"/>
      <c r="U145" s="73"/>
      <c r="V145" s="73"/>
      <c r="W145" s="72">
        <f t="shared" si="40"/>
        <v>542.67786867696691</v>
      </c>
      <c r="X145" s="72"/>
      <c r="Y145" s="72"/>
      <c r="Z145" s="72"/>
      <c r="AA145" s="72"/>
      <c r="AB145" s="72"/>
      <c r="AD145" s="74">
        <v>7.33</v>
      </c>
      <c r="AE145" s="97"/>
      <c r="AF145" s="97"/>
      <c r="AG145" s="97"/>
      <c r="AH145" s="96">
        <f t="shared" si="39"/>
        <v>0</v>
      </c>
      <c r="AS145" s="72"/>
      <c r="AT145" s="75"/>
      <c r="AU145" s="75"/>
      <c r="AV145" s="75"/>
      <c r="AW145" s="75"/>
      <c r="AX145" s="72"/>
      <c r="AY145" s="72"/>
      <c r="AZ145" s="72"/>
      <c r="BA145" s="72"/>
      <c r="BC145" s="74">
        <v>6.87</v>
      </c>
      <c r="BD145" s="93">
        <v>163.65239541491133</v>
      </c>
      <c r="BE145" s="93">
        <v>168.93784200926055</v>
      </c>
      <c r="BF145" s="93">
        <v>26.410290767787746</v>
      </c>
      <c r="BG145" s="88">
        <f t="shared" si="59"/>
        <v>-5.2854465943492244</v>
      </c>
      <c r="BH145" s="70">
        <v>55.446300000000001</v>
      </c>
      <c r="BM145" s="70">
        <v>9.3615999999999993</v>
      </c>
      <c r="BN145" s="70">
        <v>4.4734999999999996</v>
      </c>
      <c r="BO145" s="71">
        <v>53.188299999999998</v>
      </c>
      <c r="BP145" s="71">
        <f t="shared" si="41"/>
        <v>41.299753078750797</v>
      </c>
      <c r="BQ145" s="71">
        <v>51.9039</v>
      </c>
      <c r="BR145" s="71">
        <v>18.6052</v>
      </c>
      <c r="BS145" s="71">
        <v>4.3432000000000004</v>
      </c>
      <c r="BT145" s="71">
        <v>196.46109999999999</v>
      </c>
      <c r="BU145" s="72"/>
      <c r="BV145" s="72"/>
      <c r="BW145" s="72"/>
      <c r="BX145" s="72">
        <f t="shared" si="50"/>
        <v>132.85122111673786</v>
      </c>
      <c r="BY145" s="72"/>
      <c r="BZ145" s="72"/>
      <c r="CA145" s="72"/>
      <c r="CB145" s="72"/>
      <c r="CD145" s="74">
        <v>6.95</v>
      </c>
      <c r="CE145" s="69"/>
      <c r="CF145" s="69"/>
      <c r="CG145" s="69"/>
      <c r="CH145" s="69">
        <f t="shared" si="43"/>
        <v>0</v>
      </c>
      <c r="CI145" s="76"/>
      <c r="CJ145" s="76"/>
      <c r="CK145" s="177"/>
      <c r="CL145" s="70"/>
      <c r="CM145" s="76"/>
      <c r="CN145" s="77"/>
      <c r="CO145" s="77"/>
      <c r="CP145" s="77"/>
      <c r="CQ145" s="77"/>
      <c r="CR145" s="77"/>
      <c r="CS145" s="66"/>
      <c r="CT145" s="66"/>
      <c r="CU145" s="66"/>
      <c r="CV145" s="66"/>
      <c r="CW145" s="66"/>
      <c r="CX145" s="66"/>
      <c r="CY145" s="66"/>
      <c r="CZ145" s="66"/>
      <c r="DA145" s="168"/>
      <c r="DB145" s="67">
        <v>8.1300000000000008</v>
      </c>
      <c r="DC145" s="69">
        <v>86.082100519251497</v>
      </c>
      <c r="DD145" s="69">
        <v>72.240774519433131</v>
      </c>
      <c r="DE145" s="69">
        <v>39.072758944124338</v>
      </c>
      <c r="DF145" s="69">
        <f t="shared" si="48"/>
        <v>13.841325999818366</v>
      </c>
      <c r="DG145" s="70">
        <v>56.351500000000001</v>
      </c>
      <c r="DH145" s="70">
        <v>0.17369999999999999</v>
      </c>
      <c r="DI145" s="70">
        <f t="shared" si="57"/>
        <v>5.2885888875695328E-2</v>
      </c>
      <c r="DJ145" s="177">
        <v>190.54490000000001</v>
      </c>
      <c r="DK145" s="177">
        <f t="shared" si="44"/>
        <v>43.044092910000003</v>
      </c>
      <c r="DL145" s="70"/>
      <c r="DM145" s="70">
        <v>48.890799999999999</v>
      </c>
      <c r="DN145" s="71">
        <v>0.13800000000000001</v>
      </c>
      <c r="DO145" s="71">
        <f t="shared" si="45"/>
        <v>0.1071545043715932</v>
      </c>
      <c r="DP145" s="180">
        <v>61.384300000000003</v>
      </c>
      <c r="DQ145" s="180">
        <v>20.572199999999999</v>
      </c>
      <c r="DR145" s="71">
        <v>5.0133999999999999</v>
      </c>
      <c r="DS145" s="180">
        <v>170.62309999999999</v>
      </c>
      <c r="DT145" s="66"/>
      <c r="DU145" s="79"/>
      <c r="DV145" s="79">
        <f t="shared" si="49"/>
        <v>42.847864810984596</v>
      </c>
      <c r="DW145" s="119"/>
      <c r="DX145" s="79"/>
      <c r="DY145" s="136"/>
      <c r="DZ145" s="168"/>
      <c r="EA145" s="74">
        <v>8.41</v>
      </c>
      <c r="EB145" s="78"/>
      <c r="EC145" s="78"/>
      <c r="ED145" s="78"/>
      <c r="EE145" s="78">
        <f t="shared" si="35"/>
        <v>103.54933961632106</v>
      </c>
      <c r="EF145" s="79">
        <f t="shared" si="53"/>
        <v>75.519322090538651</v>
      </c>
      <c r="EG145" s="66"/>
      <c r="EH145" s="66"/>
      <c r="EI145" s="66"/>
      <c r="EJ145" s="79">
        <f t="shared" si="54"/>
        <v>90.705124754057067</v>
      </c>
      <c r="EK145" s="79">
        <f t="shared" si="56"/>
        <v>67.747481392486648</v>
      </c>
      <c r="EL145" s="66"/>
      <c r="EM145" s="66"/>
      <c r="EN145" s="66"/>
      <c r="EO145" s="66"/>
      <c r="EP145" s="79">
        <f t="shared" si="55"/>
        <v>92.104364802005563</v>
      </c>
    </row>
    <row r="146" spans="1:146" x14ac:dyDescent="0.3">
      <c r="A146" s="86">
        <v>44809</v>
      </c>
      <c r="B146" s="106">
        <f t="shared" si="29"/>
        <v>110</v>
      </c>
      <c r="C146" s="96">
        <v>115.92128801431126</v>
      </c>
      <c r="D146" s="93">
        <v>47.964300892477681</v>
      </c>
      <c r="E146" s="93">
        <v>26.568007010028236</v>
      </c>
      <c r="F146" s="96">
        <f t="shared" si="58"/>
        <v>67.956987121833578</v>
      </c>
      <c r="G146" s="70">
        <v>54.153100000000002</v>
      </c>
      <c r="L146" s="70">
        <v>11.8424</v>
      </c>
      <c r="M146" s="70">
        <v>28.871700000000001</v>
      </c>
      <c r="N146" s="71">
        <v>67.840900000000005</v>
      </c>
      <c r="O146" s="71">
        <f t="shared" si="27"/>
        <v>52.677231997266787</v>
      </c>
      <c r="P146" s="71">
        <v>42.421599999999998</v>
      </c>
      <c r="Q146" s="71">
        <v>17.737400000000001</v>
      </c>
      <c r="R146" s="71">
        <v>2.8784000000000001</v>
      </c>
      <c r="S146" s="71">
        <v>23.180099999999999</v>
      </c>
      <c r="T146" s="72"/>
      <c r="U146" s="73">
        <f>AVERAGE(265,241,228)</f>
        <v>244.66666666666666</v>
      </c>
      <c r="V146" s="73"/>
      <c r="W146" s="72">
        <f t="shared" si="40"/>
        <v>255.34693869281173</v>
      </c>
      <c r="X146" s="72"/>
      <c r="Y146" s="72"/>
      <c r="Z146" s="72"/>
      <c r="AA146" s="72"/>
      <c r="AB146" s="72"/>
      <c r="AD146" s="74">
        <v>7.2</v>
      </c>
      <c r="AE146" s="97"/>
      <c r="AF146" s="97"/>
      <c r="AG146" s="97"/>
      <c r="AH146" s="96">
        <f t="shared" si="39"/>
        <v>0</v>
      </c>
      <c r="AS146" s="72"/>
      <c r="AT146" s="75"/>
      <c r="AU146" s="75"/>
      <c r="AV146" s="75"/>
      <c r="AW146" s="75"/>
      <c r="AX146" s="72"/>
      <c r="AY146" s="72"/>
      <c r="AZ146" s="72"/>
      <c r="BA146" s="72"/>
      <c r="BC146" s="74">
        <v>6.83</v>
      </c>
      <c r="BD146" s="93">
        <v>132.92307692307691</v>
      </c>
      <c r="BE146" s="93">
        <v>136.21759456013598</v>
      </c>
      <c r="BF146" s="93">
        <v>21.415636257423813</v>
      </c>
      <c r="BG146" s="88">
        <f t="shared" si="59"/>
        <v>-3.294517637059073</v>
      </c>
      <c r="BH146" s="70">
        <v>59.193300000000001</v>
      </c>
      <c r="BM146" s="70">
        <v>16.438099999999999</v>
      </c>
      <c r="BN146" s="70">
        <v>3.9963000000000002</v>
      </c>
      <c r="BO146" s="71">
        <v>77.967100000000002</v>
      </c>
      <c r="BP146" s="71">
        <f t="shared" si="41"/>
        <v>60.540043172394519</v>
      </c>
      <c r="BQ146" s="71">
        <v>50.375700000000002</v>
      </c>
      <c r="BR146" s="71">
        <v>19.852499999999999</v>
      </c>
      <c r="BS146" s="71">
        <v>3.5802</v>
      </c>
      <c r="BT146" s="71">
        <v>126.5236</v>
      </c>
      <c r="BU146" s="72"/>
      <c r="BV146" s="72">
        <f>2*AVERAGE(29.6,31.3,32.2)</f>
        <v>62.06666666666667</v>
      </c>
      <c r="BW146" s="72"/>
      <c r="BX146" s="72">
        <f t="shared" si="50"/>
        <v>139.27694432639183</v>
      </c>
      <c r="BY146" s="72"/>
      <c r="BZ146" s="72"/>
      <c r="CA146" s="72"/>
      <c r="CB146" s="72"/>
      <c r="CD146" s="74">
        <v>6.82</v>
      </c>
      <c r="CE146" s="69"/>
      <c r="CF146" s="69"/>
      <c r="CG146" s="69"/>
      <c r="CH146" s="69">
        <f t="shared" si="43"/>
        <v>0</v>
      </c>
      <c r="CI146" s="76"/>
      <c r="CJ146" s="76"/>
      <c r="CK146" s="177"/>
      <c r="CL146" s="70"/>
      <c r="CM146" s="76"/>
      <c r="CN146" s="77"/>
      <c r="CO146" s="77"/>
      <c r="CP146" s="77"/>
      <c r="CQ146" s="77"/>
      <c r="CR146" s="77"/>
      <c r="CS146" s="66"/>
      <c r="CT146" s="66"/>
      <c r="CU146" s="66"/>
      <c r="CV146" s="66"/>
      <c r="CW146" s="66"/>
      <c r="CX146" s="66"/>
      <c r="CY146" s="66"/>
      <c r="CZ146" s="66"/>
      <c r="DA146" s="168"/>
      <c r="DB146" s="67">
        <v>8.02</v>
      </c>
      <c r="DC146" s="69">
        <v>60.722719141323786</v>
      </c>
      <c r="DD146" s="69">
        <v>47.751806204844875</v>
      </c>
      <c r="DE146" s="69">
        <v>66.361600623113603</v>
      </c>
      <c r="DF146" s="69">
        <f t="shared" si="48"/>
        <v>12.970912936478911</v>
      </c>
      <c r="DG146" s="70">
        <v>61.868200000000002</v>
      </c>
      <c r="DH146" s="70">
        <v>0.26579999999999998</v>
      </c>
      <c r="DI146" s="70">
        <f t="shared" si="57"/>
        <v>8.092728418629716E-2</v>
      </c>
      <c r="DJ146" s="177">
        <v>302.06439999999998</v>
      </c>
      <c r="DK146" s="177">
        <f t="shared" si="44"/>
        <v>68.236347959999989</v>
      </c>
      <c r="DL146" s="70"/>
      <c r="DM146" s="70">
        <v>57.747</v>
      </c>
      <c r="DN146" s="71">
        <v>0.12509999999999999</v>
      </c>
      <c r="DO146" s="71">
        <f t="shared" si="45"/>
        <v>9.713788765859642E-2</v>
      </c>
      <c r="DP146" s="180">
        <v>55.326599999999999</v>
      </c>
      <c r="DQ146" s="180">
        <v>22.590599999999998</v>
      </c>
      <c r="DR146" s="71">
        <v>4.4177999999999997</v>
      </c>
      <c r="DS146" s="180">
        <v>164.17449999999999</v>
      </c>
      <c r="DT146" s="66"/>
      <c r="DU146" s="79">
        <f>AVERAGE(24.6,25.4,25.3)</f>
        <v>25.099999999999998</v>
      </c>
      <c r="DV146" s="79">
        <f t="shared" si="49"/>
        <v>38.940319445734772</v>
      </c>
      <c r="DW146" s="119"/>
      <c r="DX146" s="79"/>
      <c r="DY146" s="136"/>
      <c r="DZ146" s="168"/>
      <c r="EA146" s="74">
        <v>8.14</v>
      </c>
      <c r="EB146" s="78"/>
      <c r="EC146" s="78"/>
      <c r="ED146" s="78"/>
      <c r="EE146" s="78">
        <f t="shared" si="35"/>
        <v>104.84794540869306</v>
      </c>
      <c r="EF146" s="79">
        <f t="shared" si="53"/>
        <v>45.455800238143759</v>
      </c>
      <c r="EG146" s="66"/>
      <c r="EH146" s="66"/>
      <c r="EI146" s="66"/>
      <c r="EJ146" s="79">
        <f t="shared" si="54"/>
        <v>80.913054733835395</v>
      </c>
      <c r="EK146" s="79">
        <f t="shared" si="56"/>
        <v>72.041087177731896</v>
      </c>
      <c r="EL146" s="66"/>
      <c r="EM146" s="66"/>
      <c r="EN146" s="66"/>
      <c r="EO146" s="66"/>
      <c r="EP146" s="79">
        <f t="shared" si="55"/>
        <v>84.75003473897884</v>
      </c>
    </row>
    <row r="147" spans="1:146" x14ac:dyDescent="0.3">
      <c r="A147" s="86">
        <v>44812</v>
      </c>
      <c r="B147" s="106">
        <f t="shared" si="29"/>
        <v>113</v>
      </c>
      <c r="C147" s="96">
        <v>300.10733452593917</v>
      </c>
      <c r="D147" s="93">
        <v>46.893327666808332</v>
      </c>
      <c r="E147" s="93">
        <v>30.049654366663415</v>
      </c>
      <c r="F147" s="96">
        <f t="shared" si="58"/>
        <v>253.21400685913085</v>
      </c>
      <c r="G147" s="70">
        <v>47.2515</v>
      </c>
      <c r="L147" s="70">
        <v>8.4518000000000004</v>
      </c>
      <c r="M147" s="70">
        <v>29.5106</v>
      </c>
      <c r="N147" s="71">
        <v>60.268300000000004</v>
      </c>
      <c r="O147" s="71">
        <f t="shared" si="27"/>
        <v>46.79724504216297</v>
      </c>
      <c r="P147" s="71">
        <v>46.965699999999998</v>
      </c>
      <c r="Q147" s="71">
        <v>18.398800000000001</v>
      </c>
      <c r="R147" s="71">
        <v>4.4164000000000003</v>
      </c>
      <c r="S147" s="71">
        <v>28.979700000000001</v>
      </c>
      <c r="T147" s="72"/>
      <c r="U147" s="73">
        <f>AVERAGE(686,685)</f>
        <v>685.5</v>
      </c>
      <c r="V147" s="73">
        <f>AVERAGE(1051,1048)</f>
        <v>1049.5</v>
      </c>
      <c r="W147" s="72">
        <f t="shared" si="40"/>
        <v>912.86115314442713</v>
      </c>
      <c r="X147" s="72"/>
      <c r="Y147" s="72"/>
      <c r="Z147" s="72"/>
      <c r="AA147" s="72"/>
      <c r="AB147" s="72"/>
      <c r="AE147" s="97"/>
      <c r="AF147" s="97"/>
      <c r="AG147" s="97"/>
      <c r="AH147" s="96">
        <f t="shared" si="39"/>
        <v>0</v>
      </c>
      <c r="AI147" s="70">
        <v>53.097700000000003</v>
      </c>
      <c r="AL147" s="70">
        <v>14.994999999999999</v>
      </c>
      <c r="AM147" s="70">
        <v>9.5942000000000007</v>
      </c>
      <c r="AN147" s="71">
        <v>78.408799999999999</v>
      </c>
      <c r="AO147" s="71">
        <v>49.573900000000002</v>
      </c>
      <c r="AP147" s="71">
        <v>19.323899999999998</v>
      </c>
      <c r="AQ147" s="71">
        <v>4.8434999999999997</v>
      </c>
      <c r="AR147" s="71">
        <v>75.386899999999997</v>
      </c>
      <c r="AS147" s="72"/>
      <c r="AT147" s="75">
        <f>AVERAGE(219,220)</f>
        <v>219.5</v>
      </c>
      <c r="AU147" s="75">
        <f>AVERAGE(2877,2863)</f>
        <v>2870</v>
      </c>
      <c r="AV147" s="75"/>
      <c r="AW147" s="75"/>
      <c r="AX147" s="72"/>
      <c r="AY147" s="72"/>
      <c r="AZ147" s="72"/>
      <c r="BA147" s="72"/>
      <c r="BD147" s="93">
        <v>141.20930232558138</v>
      </c>
      <c r="BE147" s="93">
        <v>95.95410114747132</v>
      </c>
      <c r="BF147" s="93">
        <v>36.21847921331905</v>
      </c>
      <c r="BG147" s="88">
        <f t="shared" si="59"/>
        <v>45.255201178110056</v>
      </c>
      <c r="BH147" s="70">
        <v>54.346699999999998</v>
      </c>
      <c r="BM147" s="70">
        <v>19.635999999999999</v>
      </c>
      <c r="BN147" s="70">
        <v>9.7559000000000005</v>
      </c>
      <c r="BO147" s="71">
        <v>81.555499999999995</v>
      </c>
      <c r="BP147" s="71">
        <f t="shared" si="41"/>
        <v>63.326370878822225</v>
      </c>
      <c r="BQ147" s="71">
        <v>49.958399999999997</v>
      </c>
      <c r="BR147" s="71">
        <v>22.482700000000001</v>
      </c>
      <c r="BS147" s="71">
        <v>4.6951000000000001</v>
      </c>
      <c r="BT147" s="71">
        <v>73.627899999999997</v>
      </c>
      <c r="BU147" s="72"/>
      <c r="BV147" s="72">
        <f>2*AVERAGE(69.7,70.3)</f>
        <v>140</v>
      </c>
      <c r="BW147" s="72">
        <f>2*131</f>
        <v>262</v>
      </c>
      <c r="BX147" s="72">
        <f t="shared" si="50"/>
        <v>295.9711618023502</v>
      </c>
      <c r="BY147" s="72"/>
      <c r="BZ147" s="72"/>
      <c r="CA147" s="72"/>
      <c r="CB147" s="72"/>
      <c r="CE147" s="69"/>
      <c r="CF147" s="69"/>
      <c r="CG147" s="69"/>
      <c r="CH147" s="69">
        <f t="shared" si="43"/>
        <v>0</v>
      </c>
      <c r="CI147" s="76">
        <v>57.1556</v>
      </c>
      <c r="CJ147" s="76">
        <v>7.0107999999999997</v>
      </c>
      <c r="CK147" s="177">
        <v>308.14620000000002</v>
      </c>
      <c r="CL147" s="70">
        <v>3.7292000000000001</v>
      </c>
      <c r="CM147" s="70">
        <v>58.558900000000001</v>
      </c>
      <c r="CN147" s="71">
        <v>13.952400000000001</v>
      </c>
      <c r="CO147" s="71">
        <v>53.520400000000002</v>
      </c>
      <c r="CP147" s="71">
        <v>25.490200000000002</v>
      </c>
      <c r="CQ147" s="71">
        <v>5.9123999999999999</v>
      </c>
      <c r="CR147" s="71">
        <v>135.43629999999999</v>
      </c>
      <c r="CS147" s="66"/>
      <c r="CT147" s="66"/>
      <c r="CU147" s="66"/>
      <c r="CV147" s="66"/>
      <c r="CW147" s="66"/>
      <c r="CX147" s="66"/>
      <c r="CY147" s="66"/>
      <c r="CZ147" s="66"/>
      <c r="DA147" s="168"/>
      <c r="DB147" s="67"/>
      <c r="DC147" s="69">
        <v>30.711985688729875</v>
      </c>
      <c r="DD147" s="69">
        <v>19.728006799830005</v>
      </c>
      <c r="DE147" s="69">
        <v>80.84899230844124</v>
      </c>
      <c r="DF147" s="69">
        <f t="shared" si="48"/>
        <v>10.98397888889987</v>
      </c>
      <c r="DG147" s="70">
        <v>58.469700000000003</v>
      </c>
      <c r="DH147" s="70">
        <v>0.16320000000000001</v>
      </c>
      <c r="DI147" s="70">
        <f t="shared" si="57"/>
        <v>4.9688987130186976E-2</v>
      </c>
      <c r="DJ147" s="177">
        <v>384.57350000000002</v>
      </c>
      <c r="DK147" s="177">
        <f t="shared" si="44"/>
        <v>86.875153650000001</v>
      </c>
      <c r="DL147" s="70">
        <v>3.2961</v>
      </c>
      <c r="DM147" s="70">
        <v>60.960900000000002</v>
      </c>
      <c r="DN147" s="71">
        <v>8.7707999999999995</v>
      </c>
      <c r="DO147" s="71">
        <f t="shared" si="45"/>
        <v>6.8103675865389093</v>
      </c>
      <c r="DP147" s="180">
        <v>54.001899999999999</v>
      </c>
      <c r="DQ147" s="180">
        <v>24.8614</v>
      </c>
      <c r="DR147" s="71">
        <v>5.7758000000000003</v>
      </c>
      <c r="DS147" s="180">
        <v>138.87569999999999</v>
      </c>
      <c r="DT147" s="66"/>
      <c r="DU147" s="79">
        <v>27.3</v>
      </c>
      <c r="DV147" s="79">
        <f t="shared" si="49"/>
        <v>30.020376425938188</v>
      </c>
      <c r="DW147" s="119"/>
      <c r="DX147" s="79"/>
      <c r="DY147" s="136"/>
      <c r="DZ147" s="168"/>
      <c r="EA147" s="74"/>
      <c r="EB147" s="78"/>
      <c r="EC147" s="78"/>
      <c r="ED147" s="78"/>
      <c r="EE147" s="78">
        <f t="shared" si="35"/>
        <v>82.127686481701375</v>
      </c>
      <c r="EF147" s="79">
        <f t="shared" si="53"/>
        <v>67.577636447464911</v>
      </c>
      <c r="EG147" s="66"/>
      <c r="EH147" s="66"/>
      <c r="EI147" s="66"/>
      <c r="EJ147" s="79">
        <f t="shared" si="54"/>
        <v>95.662175633510472</v>
      </c>
      <c r="EK147" s="79">
        <f t="shared" si="56"/>
        <v>89.856992741074606</v>
      </c>
      <c r="EL147" s="66"/>
      <c r="EM147" s="66"/>
      <c r="EN147" s="66"/>
      <c r="EO147" s="66"/>
      <c r="EP147" s="79">
        <f t="shared" si="55"/>
        <v>96.711397311351192</v>
      </c>
    </row>
    <row r="148" spans="1:146" x14ac:dyDescent="0.3">
      <c r="A148" s="86">
        <v>44816</v>
      </c>
      <c r="B148" s="106">
        <f t="shared" si="29"/>
        <v>117</v>
      </c>
      <c r="C148" s="96">
        <v>275.84024696121941</v>
      </c>
      <c r="D148" s="93">
        <v>45.366803722138059</v>
      </c>
      <c r="E148" s="93">
        <v>36.071254745449231</v>
      </c>
      <c r="F148" s="96">
        <f t="shared" si="58"/>
        <v>230.47344323908135</v>
      </c>
      <c r="G148" s="70">
        <v>50.826900000000002</v>
      </c>
      <c r="J148" s="70">
        <v>0.1837</v>
      </c>
      <c r="K148" s="70">
        <f t="shared" si="42"/>
        <v>4.1497829999999999E-2</v>
      </c>
      <c r="L148" s="70">
        <v>4.5876999999999999</v>
      </c>
      <c r="M148" s="70">
        <v>28.4391</v>
      </c>
      <c r="N148" s="71">
        <v>53.802999999999997</v>
      </c>
      <c r="O148" s="71">
        <f t="shared" si="27"/>
        <v>41.777056512353823</v>
      </c>
      <c r="P148" s="71">
        <v>45.211599999999997</v>
      </c>
      <c r="Q148" s="71">
        <v>16.771599999999999</v>
      </c>
      <c r="R148" s="71">
        <v>4.2435</v>
      </c>
      <c r="S148" s="71">
        <v>28.570699999999999</v>
      </c>
      <c r="T148" s="72">
        <f>5*10.5</f>
        <v>52.5</v>
      </c>
      <c r="U148" s="73"/>
      <c r="V148" s="73"/>
      <c r="W148" s="72">
        <f t="shared" si="40"/>
        <v>832.15034474414745</v>
      </c>
      <c r="X148" s="72">
        <v>74</v>
      </c>
      <c r="Y148" s="72">
        <v>89</v>
      </c>
      <c r="Z148" s="72">
        <f>AVERAGE(4.89,4.92)</f>
        <v>4.9049999999999994</v>
      </c>
      <c r="AA148" s="72">
        <f>AVERAGE(4.29,4.44)</f>
        <v>4.3650000000000002</v>
      </c>
      <c r="AB148" s="72"/>
      <c r="AC148" s="168">
        <v>252.10890000000001</v>
      </c>
      <c r="AE148" s="97"/>
      <c r="AF148" s="97"/>
      <c r="AG148" s="97"/>
      <c r="AH148" s="96">
        <f t="shared" si="39"/>
        <v>0</v>
      </c>
      <c r="AI148" s="70">
        <v>53.5289</v>
      </c>
      <c r="AK148" s="70">
        <v>0.1656</v>
      </c>
      <c r="AL148" s="70">
        <v>24.7806</v>
      </c>
      <c r="AM148" s="70">
        <v>2.2658</v>
      </c>
      <c r="AN148" s="71">
        <v>89.198300000000003</v>
      </c>
      <c r="AO148" s="71">
        <v>48.679000000000002</v>
      </c>
      <c r="AP148" s="71">
        <v>21.962800000000001</v>
      </c>
      <c r="AQ148" s="71">
        <v>4.7210000000000001</v>
      </c>
      <c r="AR148" s="71">
        <v>55.872199999999999</v>
      </c>
      <c r="AS148" s="72"/>
      <c r="AT148" s="75"/>
      <c r="AU148" s="75"/>
      <c r="AV148" s="75"/>
      <c r="AW148" s="75"/>
      <c r="AX148" s="72"/>
      <c r="AY148" s="72"/>
      <c r="AZ148" s="72">
        <f>5*AVERAGE(4.57,4.61)</f>
        <v>22.95</v>
      </c>
      <c r="BA148" s="72"/>
      <c r="BB148" s="168">
        <v>391.01729999999998</v>
      </c>
      <c r="BD148" s="93">
        <v>119.14335327030678</v>
      </c>
      <c r="BE148" s="93">
        <v>95.459857173771908</v>
      </c>
      <c r="BF148" s="93">
        <v>35.931081475713029</v>
      </c>
      <c r="BG148" s="88">
        <f t="shared" si="59"/>
        <v>23.683496096534867</v>
      </c>
      <c r="BH148" s="70">
        <v>53.749600000000001</v>
      </c>
      <c r="BM148" s="70">
        <v>27.425699999999999</v>
      </c>
      <c r="BN148" s="70">
        <v>2.3610000000000002</v>
      </c>
      <c r="BO148" s="71">
        <v>88.763199999999998</v>
      </c>
      <c r="BP148" s="71">
        <f t="shared" si="41"/>
        <v>68.92301958287392</v>
      </c>
      <c r="BQ148" s="71">
        <v>48.610700000000001</v>
      </c>
      <c r="BR148" s="71">
        <v>22.316199999999998</v>
      </c>
      <c r="BS148" s="71">
        <v>4.6756000000000002</v>
      </c>
      <c r="BT148" s="71">
        <v>54.878</v>
      </c>
      <c r="BU148" s="72">
        <f>5*12.8</f>
        <v>64</v>
      </c>
      <c r="BV148" s="72"/>
      <c r="BW148" s="72"/>
      <c r="BX148" s="72">
        <f t="shared" si="50"/>
        <v>226.34848365156628</v>
      </c>
      <c r="BY148" s="72">
        <v>76</v>
      </c>
      <c r="BZ148" s="72">
        <v>81</v>
      </c>
      <c r="CA148" s="66">
        <f>2*AVERAGE(3.96,3.95)</f>
        <v>7.91</v>
      </c>
      <c r="CB148" s="72"/>
      <c r="CC148" s="168">
        <v>388.20769999999999</v>
      </c>
      <c r="CE148" s="69"/>
      <c r="CF148" s="69"/>
      <c r="CG148" s="69"/>
      <c r="CH148" s="69">
        <f t="shared" si="43"/>
        <v>0</v>
      </c>
      <c r="CI148" s="76">
        <v>53.5398</v>
      </c>
      <c r="CJ148" s="76">
        <v>3.0407999999999999</v>
      </c>
      <c r="CK148" s="177">
        <v>442.85660000000001</v>
      </c>
      <c r="CL148" s="70">
        <v>15.9148</v>
      </c>
      <c r="CM148" s="70">
        <v>21.793099999999999</v>
      </c>
      <c r="CN148" s="71">
        <v>1.4625999999999999</v>
      </c>
      <c r="CO148" s="71">
        <v>50.660899999999998</v>
      </c>
      <c r="CP148" s="71">
        <v>24.418600000000001</v>
      </c>
      <c r="CQ148" s="71">
        <v>5.4779999999999998</v>
      </c>
      <c r="CR148" s="71">
        <v>124.23950000000001</v>
      </c>
      <c r="CS148" s="66"/>
      <c r="CT148" s="66"/>
      <c r="CU148" s="66"/>
      <c r="CV148" s="66"/>
      <c r="CW148" s="66"/>
      <c r="CX148" s="66"/>
      <c r="CY148" s="66">
        <f>5*AVERAGE(4.04,3.83)</f>
        <v>19.675000000000001</v>
      </c>
      <c r="CZ148" s="66"/>
      <c r="DA148" s="168">
        <v>29.799130000000002</v>
      </c>
      <c r="DB148" s="67"/>
      <c r="DC148" s="69">
        <v>11.903530773683196</v>
      </c>
      <c r="DD148" s="69">
        <v>2.2410733607444278</v>
      </c>
      <c r="DE148" s="69">
        <v>102.20967584931373</v>
      </c>
      <c r="DF148" s="69">
        <f t="shared" si="48"/>
        <v>9.6624574129387675</v>
      </c>
      <c r="DG148" s="70">
        <v>53.9131</v>
      </c>
      <c r="DH148" s="70">
        <v>0.36630000000000001</v>
      </c>
      <c r="DI148" s="70">
        <f t="shared" si="57"/>
        <v>0.1115262008933057</v>
      </c>
      <c r="DJ148" s="177">
        <v>463.65800000000002</v>
      </c>
      <c r="DK148" s="177">
        <f t="shared" si="44"/>
        <v>104.7403422</v>
      </c>
      <c r="DL148" s="70">
        <v>15.5768</v>
      </c>
      <c r="DM148" s="70">
        <v>21.972100000000001</v>
      </c>
      <c r="DN148" s="71">
        <v>0.2707</v>
      </c>
      <c r="DO148" s="71">
        <f t="shared" si="45"/>
        <v>0.21019365458978459</v>
      </c>
      <c r="DP148" s="180">
        <v>50.902099999999997</v>
      </c>
      <c r="DQ148" s="180">
        <v>24.290600000000001</v>
      </c>
      <c r="DR148" s="71">
        <v>5.2511999999999999</v>
      </c>
      <c r="DS148" s="180">
        <v>122.10080000000001</v>
      </c>
      <c r="DT148" s="66">
        <v>0.1</v>
      </c>
      <c r="DU148" s="79"/>
      <c r="DV148" s="79">
        <f t="shared" si="49"/>
        <v>24.08767006390601</v>
      </c>
      <c r="DW148" s="119">
        <v>99</v>
      </c>
      <c r="DX148" s="79">
        <f>AVERAGE(4.9,4.81,4.77)</f>
        <v>4.8266666666666671</v>
      </c>
      <c r="DY148" s="136"/>
      <c r="DZ148" s="168">
        <v>14.54543</v>
      </c>
      <c r="EA148" s="74"/>
      <c r="EB148" s="78"/>
      <c r="EC148" s="78"/>
      <c r="ED148" s="78"/>
      <c r="EE148" s="78">
        <f t="shared" si="35"/>
        <v>89.723980444911035</v>
      </c>
      <c r="EF148" s="79">
        <f t="shared" si="53"/>
        <v>72.799568601854119</v>
      </c>
      <c r="EG148" s="66"/>
      <c r="EH148" s="66"/>
      <c r="EI148" s="66"/>
      <c r="EJ148" s="79">
        <f t="shared" si="54"/>
        <v>95.807561479907505</v>
      </c>
      <c r="EK148" s="79">
        <f t="shared" si="56"/>
        <v>89.35814825206171</v>
      </c>
      <c r="EL148" s="66"/>
      <c r="EM148" s="66"/>
      <c r="EN148" s="66"/>
      <c r="EO148" s="66"/>
      <c r="EP148" s="79">
        <f t="shared" si="55"/>
        <v>97.105370415809659</v>
      </c>
    </row>
    <row r="149" spans="1:146" x14ac:dyDescent="0.3">
      <c r="A149" s="86">
        <v>44819</v>
      </c>
      <c r="B149" s="106">
        <f t="shared" si="29"/>
        <v>120</v>
      </c>
      <c r="C149" s="96">
        <v>128.74834612331307</v>
      </c>
      <c r="D149" s="93">
        <v>58.804031354983195</v>
      </c>
      <c r="E149" s="93">
        <v>26.311207834602826</v>
      </c>
      <c r="F149" s="96">
        <f t="shared" si="58"/>
        <v>69.944314768329875</v>
      </c>
      <c r="G149" s="70">
        <v>45.998399999999997</v>
      </c>
      <c r="J149" s="70">
        <v>0.41489999999999999</v>
      </c>
      <c r="K149" s="70">
        <f t="shared" si="42"/>
        <v>9.3725909999999996E-2</v>
      </c>
      <c r="L149" s="70">
        <v>5.6482000000000001</v>
      </c>
      <c r="M149" s="70">
        <v>28.939399999999999</v>
      </c>
      <c r="N149" s="71">
        <v>54.172800000000002</v>
      </c>
      <c r="O149" s="71">
        <f t="shared" si="27"/>
        <v>42.064199524793068</v>
      </c>
      <c r="P149" s="71">
        <v>40.995600000000003</v>
      </c>
      <c r="Q149" s="71">
        <v>16.8962</v>
      </c>
      <c r="R149" s="71">
        <v>3.9876</v>
      </c>
      <c r="S149" s="71">
        <v>27.833400000000001</v>
      </c>
      <c r="T149" s="72"/>
      <c r="U149" s="73">
        <v>249.5</v>
      </c>
      <c r="V149" s="73">
        <f>2*345</f>
        <v>690</v>
      </c>
      <c r="W149" s="72">
        <f t="shared" si="40"/>
        <v>262.40036197575637</v>
      </c>
      <c r="X149" s="72"/>
      <c r="Y149" s="72"/>
      <c r="Z149" s="72">
        <v>4.97</v>
      </c>
      <c r="AA149" s="72">
        <v>4.5199999999999996</v>
      </c>
      <c r="AB149" s="72"/>
      <c r="AE149" s="97"/>
      <c r="AF149" s="97"/>
      <c r="AG149" s="97"/>
      <c r="AH149" s="96">
        <f t="shared" si="39"/>
        <v>0</v>
      </c>
      <c r="AI149" s="70">
        <v>54.225900000000003</v>
      </c>
      <c r="AL149" s="70">
        <v>17.156600000000001</v>
      </c>
      <c r="AM149" s="70">
        <v>2.3056999999999999</v>
      </c>
      <c r="AN149" s="71">
        <v>67.503500000000003</v>
      </c>
      <c r="AO149" s="71">
        <v>49.710999999999999</v>
      </c>
      <c r="AP149" s="71">
        <v>21.835000000000001</v>
      </c>
      <c r="AQ149" s="71">
        <v>5.7371999999999996</v>
      </c>
      <c r="AR149" s="71">
        <v>138.45570000000001</v>
      </c>
      <c r="AS149" s="72"/>
      <c r="AT149" s="75"/>
      <c r="AU149" s="75"/>
      <c r="AV149" s="75"/>
      <c r="AW149" s="75"/>
      <c r="AX149" s="72"/>
      <c r="AY149" s="72"/>
      <c r="AZ149" s="72"/>
      <c r="BA149" s="72"/>
      <c r="BD149" s="93">
        <v>133.79730087324688</v>
      </c>
      <c r="BE149" s="93">
        <v>138.67861142217242</v>
      </c>
      <c r="BF149" s="93">
        <v>24.047878128400438</v>
      </c>
      <c r="BG149" s="88">
        <f t="shared" si="59"/>
        <v>-4.8813105489255406</v>
      </c>
      <c r="BH149" s="70">
        <v>54.2271</v>
      </c>
      <c r="BM149" s="70">
        <v>17.421700000000001</v>
      </c>
      <c r="BN149" s="70">
        <v>4.5964999999999998</v>
      </c>
      <c r="BO149" s="71">
        <v>66.387200000000007</v>
      </c>
      <c r="BP149" s="71">
        <f t="shared" si="41"/>
        <v>51.548460236361102</v>
      </c>
      <c r="BQ149" s="71">
        <v>49.439599999999999</v>
      </c>
      <c r="BR149" s="71">
        <v>21.625800000000002</v>
      </c>
      <c r="BS149" s="71">
        <v>5.6173999999999999</v>
      </c>
      <c r="BT149" s="71">
        <v>139.03729999999999</v>
      </c>
      <c r="BU149" s="72"/>
      <c r="BV149" s="72">
        <f>60.1*2</f>
        <v>120.2</v>
      </c>
      <c r="BW149" s="72">
        <v>136.5</v>
      </c>
      <c r="BX149" s="72">
        <f t="shared" si="50"/>
        <v>134.15557020334282</v>
      </c>
      <c r="BY149" s="72"/>
      <c r="BZ149" s="72"/>
      <c r="CA149" s="72"/>
      <c r="CB149" s="72"/>
      <c r="CE149" s="69"/>
      <c r="CF149" s="69"/>
      <c r="CG149" s="69"/>
      <c r="CH149" s="69">
        <f t="shared" si="43"/>
        <v>0</v>
      </c>
      <c r="CI149" s="76">
        <v>54.686199999999999</v>
      </c>
      <c r="CJ149" s="76">
        <v>9.3085000000000004</v>
      </c>
      <c r="CK149" s="177">
        <v>300.5607</v>
      </c>
      <c r="CL149" s="70">
        <v>4.5034999999999998</v>
      </c>
      <c r="CM149" s="70">
        <v>24.3324</v>
      </c>
      <c r="CN149" s="71">
        <v>0.308</v>
      </c>
      <c r="CO149" s="71">
        <v>64.739199999999997</v>
      </c>
      <c r="CP149" s="71">
        <v>24.1906</v>
      </c>
      <c r="CQ149" s="71">
        <v>6.1901999999999999</v>
      </c>
      <c r="CR149" s="71">
        <v>156.83840000000001</v>
      </c>
      <c r="CS149" s="66"/>
      <c r="CT149" s="66"/>
      <c r="CU149" s="66"/>
      <c r="CV149" s="66"/>
      <c r="CW149" s="66"/>
      <c r="CX149" s="66"/>
      <c r="CY149" s="66"/>
      <c r="CZ149" s="66"/>
      <c r="DA149" s="168"/>
      <c r="DB149" s="67"/>
      <c r="DC149" s="69">
        <v>50.981741201376032</v>
      </c>
      <c r="DD149" s="69">
        <v>40.671892497200446</v>
      </c>
      <c r="DE149" s="69">
        <v>65.092491838955397</v>
      </c>
      <c r="DF149" s="69">
        <f t="shared" si="48"/>
        <v>10.309848704175586</v>
      </c>
      <c r="DG149" s="70">
        <v>54.984900000000003</v>
      </c>
      <c r="DH149" s="70">
        <v>0.3201</v>
      </c>
      <c r="DI149" s="70">
        <f t="shared" si="57"/>
        <v>9.7459833213068933E-2</v>
      </c>
      <c r="DJ149" s="177">
        <v>325.10629999999998</v>
      </c>
      <c r="DK149" s="177">
        <f t="shared" si="44"/>
        <v>73.441513169999993</v>
      </c>
      <c r="DL149" s="70">
        <v>3.8704000000000001</v>
      </c>
      <c r="DM149" s="70">
        <v>24.366499999999998</v>
      </c>
      <c r="DN149" s="71">
        <v>0.2969</v>
      </c>
      <c r="DO149" s="71">
        <f t="shared" si="45"/>
        <v>0.23053748078207259</v>
      </c>
      <c r="DP149" s="180">
        <v>64.924300000000002</v>
      </c>
      <c r="DQ149" s="180">
        <v>23.476199999999999</v>
      </c>
      <c r="DR149" s="71">
        <v>5.8593000000000002</v>
      </c>
      <c r="DS149" s="180">
        <v>152.82130000000001</v>
      </c>
      <c r="DT149" s="66"/>
      <c r="DU149" s="79">
        <v>25.4</v>
      </c>
      <c r="DV149" s="79">
        <f t="shared" si="49"/>
        <v>26.994003787655458</v>
      </c>
      <c r="DW149" s="119"/>
      <c r="DX149" s="79"/>
      <c r="DY149" s="136"/>
      <c r="DZ149" s="168"/>
      <c r="EA149" s="74"/>
      <c r="EB149" s="78"/>
      <c r="EC149" s="78"/>
      <c r="ED149" s="78"/>
      <c r="EE149" s="78">
        <f t="shared" si="35"/>
        <v>106.97885248442773</v>
      </c>
      <c r="EF149" s="79">
        <f t="shared" si="53"/>
        <v>48.873709931948305</v>
      </c>
      <c r="EG149" s="66"/>
      <c r="EH149" s="66"/>
      <c r="EI149" s="66"/>
      <c r="EJ149" s="79">
        <f t="shared" si="54"/>
        <v>85.259918925042086</v>
      </c>
      <c r="EK149" s="79">
        <f t="shared" si="56"/>
        <v>79.878581450818629</v>
      </c>
      <c r="EL149" s="66"/>
      <c r="EM149" s="66"/>
      <c r="EN149" s="66"/>
      <c r="EO149" s="66"/>
      <c r="EP149" s="79">
        <f t="shared" si="55"/>
        <v>89.712665186738775</v>
      </c>
    </row>
    <row r="150" spans="1:146" ht="16.5" customHeight="1" x14ac:dyDescent="0.3">
      <c r="A150" s="86">
        <v>44823</v>
      </c>
      <c r="B150" s="106">
        <f t="shared" si="29"/>
        <v>124</v>
      </c>
      <c r="C150" s="96">
        <v>266.64196877480816</v>
      </c>
      <c r="D150" s="93">
        <v>50.311310190369525</v>
      </c>
      <c r="E150" s="93">
        <v>25.440696409140369</v>
      </c>
      <c r="F150" s="96">
        <f t="shared" si="58"/>
        <v>216.33065858443865</v>
      </c>
      <c r="G150" s="70">
        <v>50.373100000000001</v>
      </c>
      <c r="H150" s="70">
        <v>0.127</v>
      </c>
      <c r="I150" s="70">
        <f t="shared" ref="I150" si="60">H150/3.28443</f>
        <v>3.8667287779005792E-2</v>
      </c>
      <c r="J150" s="70">
        <v>1.3855</v>
      </c>
      <c r="K150" s="70">
        <f t="shared" si="42"/>
        <v>0.31298444999999997</v>
      </c>
      <c r="L150" s="70">
        <v>12.3294</v>
      </c>
      <c r="M150" s="70">
        <v>28.894400000000001</v>
      </c>
      <c r="N150" s="71">
        <v>59.698599999999999</v>
      </c>
      <c r="O150" s="71">
        <f t="shared" si="27"/>
        <v>46.354883294768065</v>
      </c>
      <c r="P150" s="71">
        <v>48.452599999999997</v>
      </c>
      <c r="Q150" s="71">
        <v>16.946300000000001</v>
      </c>
      <c r="R150" s="71">
        <v>4.4208999999999996</v>
      </c>
      <c r="S150" s="71">
        <v>30.968699999999998</v>
      </c>
      <c r="T150" s="72"/>
      <c r="U150" s="73"/>
      <c r="V150" s="73"/>
      <c r="W150" s="72">
        <f t="shared" si="40"/>
        <v>781.95477344788969</v>
      </c>
      <c r="X150" s="72"/>
      <c r="Y150" s="72">
        <v>70</v>
      </c>
      <c r="Z150" s="72"/>
      <c r="AA150" s="72">
        <f>2*3.55</f>
        <v>7.1</v>
      </c>
      <c r="AB150" s="72">
        <f>2*7.2</f>
        <v>14.4</v>
      </c>
      <c r="AC150" s="168">
        <v>257.86430000000001</v>
      </c>
      <c r="AD150" s="74">
        <v>7.08</v>
      </c>
      <c r="AE150" s="97"/>
      <c r="AF150" s="97"/>
      <c r="AG150" s="97"/>
      <c r="AH150" s="96">
        <f t="shared" si="39"/>
        <v>0</v>
      </c>
      <c r="AI150" s="70">
        <v>52.9129</v>
      </c>
      <c r="AK150" s="70">
        <v>0.1666</v>
      </c>
      <c r="AL150" s="70">
        <v>23.128</v>
      </c>
      <c r="AM150" s="70">
        <v>0.71079999999999999</v>
      </c>
      <c r="AN150" s="71">
        <v>83.443700000000007</v>
      </c>
      <c r="AO150" s="71">
        <v>48.945700000000002</v>
      </c>
      <c r="AP150" s="71">
        <v>21.2774</v>
      </c>
      <c r="AQ150" s="71">
        <v>4.6623999999999999</v>
      </c>
      <c r="AR150" s="71">
        <v>64.187899999999999</v>
      </c>
      <c r="AS150" s="72"/>
      <c r="AT150" s="75"/>
      <c r="AU150" s="75"/>
      <c r="AV150" s="75"/>
      <c r="AW150" s="75"/>
      <c r="AX150" s="72"/>
      <c r="AY150" s="72">
        <v>128</v>
      </c>
      <c r="AZ150" s="72">
        <f>5*4.52</f>
        <v>22.599999999999998</v>
      </c>
      <c r="BA150" s="72">
        <f>5*5.2</f>
        <v>26</v>
      </c>
      <c r="BB150" s="168">
        <v>461.98099999999999</v>
      </c>
      <c r="BC150" s="74">
        <v>6.7</v>
      </c>
      <c r="BD150" s="93">
        <v>123.1754432389521</v>
      </c>
      <c r="BE150" s="93">
        <v>108.12094064949608</v>
      </c>
      <c r="BF150" s="93">
        <v>31.969532100108811</v>
      </c>
      <c r="BG150" s="88">
        <f t="shared" si="59"/>
        <v>15.054502589456021</v>
      </c>
      <c r="BH150" s="70">
        <v>52.765799999999999</v>
      </c>
      <c r="BM150" s="70">
        <v>24.139199999999999</v>
      </c>
      <c r="BN150" s="70">
        <v>0.53059999999999996</v>
      </c>
      <c r="BO150" s="71">
        <v>82.672399999999996</v>
      </c>
      <c r="BP150" s="71">
        <f t="shared" si="41"/>
        <v>64.193623530507978</v>
      </c>
      <c r="BQ150" s="71">
        <v>48.692300000000003</v>
      </c>
      <c r="BR150" s="71">
        <v>21.365500000000001</v>
      </c>
      <c r="BS150" s="71">
        <v>4.5422000000000002</v>
      </c>
      <c r="BT150" s="71">
        <v>62.246600000000001</v>
      </c>
      <c r="BU150" s="72"/>
      <c r="BV150" s="72"/>
      <c r="BW150" s="72"/>
      <c r="BX150" s="72">
        <f t="shared" si="50"/>
        <v>198.49840710746929</v>
      </c>
      <c r="BY150" s="72"/>
      <c r="BZ150" s="72">
        <v>80</v>
      </c>
      <c r="CA150" s="72">
        <f>2*4.76</f>
        <v>9.52</v>
      </c>
      <c r="CB150" s="72">
        <f>12.2*2</f>
        <v>24.4</v>
      </c>
      <c r="CC150" s="168">
        <v>404.35090000000002</v>
      </c>
      <c r="CD150" s="74">
        <v>6.7</v>
      </c>
      <c r="CE150" s="69"/>
      <c r="CF150" s="69"/>
      <c r="CG150" s="69"/>
      <c r="CH150" s="69">
        <f t="shared" si="43"/>
        <v>0</v>
      </c>
      <c r="CI150" s="76">
        <v>52.814</v>
      </c>
      <c r="CJ150" s="76">
        <v>5.4800000000000001E-2</v>
      </c>
      <c r="CK150" s="177">
        <v>346.59769999999997</v>
      </c>
      <c r="CL150" s="70">
        <v>16.5425</v>
      </c>
      <c r="CM150" s="70">
        <v>21.988900000000001</v>
      </c>
      <c r="CN150" s="71">
        <v>0.3105</v>
      </c>
      <c r="CO150" s="71">
        <v>50.442500000000003</v>
      </c>
      <c r="CP150" s="71">
        <v>23.131499999999999</v>
      </c>
      <c r="CQ150" s="71">
        <v>5.2050999999999998</v>
      </c>
      <c r="CR150" s="71">
        <v>98.051699999999997</v>
      </c>
      <c r="CS150" s="66"/>
      <c r="CT150" s="66"/>
      <c r="CU150" s="66"/>
      <c r="CV150" s="66"/>
      <c r="CW150" s="66"/>
      <c r="CX150" s="66">
        <v>199</v>
      </c>
      <c r="CY150" s="66">
        <f>5*2.46</f>
        <v>12.3</v>
      </c>
      <c r="CZ150" s="66">
        <f>5*9</f>
        <v>45</v>
      </c>
      <c r="DA150" s="168">
        <v>28.107679999999998</v>
      </c>
      <c r="DB150" s="67">
        <v>7</v>
      </c>
      <c r="DC150" s="69">
        <v>14.178354061921144</v>
      </c>
      <c r="DD150" s="69">
        <v>4.2669652855543108</v>
      </c>
      <c r="DE150" s="69">
        <v>72.208922742110985</v>
      </c>
      <c r="DF150" s="69">
        <f t="shared" si="48"/>
        <v>9.9113887763668345</v>
      </c>
      <c r="DG150" s="70">
        <v>52.7746</v>
      </c>
      <c r="DH150" s="70">
        <v>0.47699999999999998</v>
      </c>
      <c r="DI150" s="70">
        <f t="shared" si="57"/>
        <v>0.1452306792959509</v>
      </c>
      <c r="DJ150" s="177">
        <v>343.28390000000002</v>
      </c>
      <c r="DK150" s="177">
        <f t="shared" si="44"/>
        <v>77.547833010000005</v>
      </c>
      <c r="DL150" s="70">
        <v>15.2447</v>
      </c>
      <c r="DM150" s="70">
        <v>21.668199999999999</v>
      </c>
      <c r="DN150" s="71">
        <v>0.25440000000000002</v>
      </c>
      <c r="DO150" s="71">
        <f t="shared" si="45"/>
        <v>0.19753699936328484</v>
      </c>
      <c r="DP150" s="180">
        <v>50.347499999999997</v>
      </c>
      <c r="DQ150" s="180">
        <v>23.363</v>
      </c>
      <c r="DR150" s="71">
        <v>4.9767999999999999</v>
      </c>
      <c r="DS150" s="180">
        <v>96.035499999999999</v>
      </c>
      <c r="DT150" s="66"/>
      <c r="DU150" s="79"/>
      <c r="DV150" s="79">
        <f t="shared" si="49"/>
        <v>25.20519763374363</v>
      </c>
      <c r="DW150" s="119">
        <v>75</v>
      </c>
      <c r="DX150" s="79">
        <f>2*2.65</f>
        <v>5.3</v>
      </c>
      <c r="DY150" s="136">
        <f>2*8.1</f>
        <v>16.2</v>
      </c>
      <c r="DZ150" s="168">
        <v>26.462050000000001</v>
      </c>
      <c r="EA150" s="74">
        <v>7</v>
      </c>
      <c r="EB150" s="78"/>
      <c r="EC150" s="78"/>
      <c r="ED150" s="78"/>
      <c r="EE150" s="78">
        <f t="shared" si="35"/>
        <v>93.040975935650877</v>
      </c>
      <c r="EF150" s="79">
        <f t="shared" si="53"/>
        <v>74.615103859239056</v>
      </c>
      <c r="EG150" s="66"/>
      <c r="EH150" s="66"/>
      <c r="EI150" s="66"/>
      <c r="EJ150" s="79">
        <f t="shared" si="54"/>
        <v>95.418407709188287</v>
      </c>
      <c r="EK150" s="79">
        <f t="shared" si="56"/>
        <v>87.302065542471951</v>
      </c>
      <c r="EL150" s="66"/>
      <c r="EM150" s="66"/>
      <c r="EN150" s="66"/>
      <c r="EO150" s="66"/>
      <c r="EP150" s="79">
        <f t="shared" si="55"/>
        <v>96.776642525934605</v>
      </c>
    </row>
    <row r="151" spans="1:146" x14ac:dyDescent="0.3">
      <c r="A151" s="99">
        <v>44826</v>
      </c>
      <c r="B151" s="106">
        <f t="shared" si="29"/>
        <v>127</v>
      </c>
      <c r="C151" s="96">
        <v>207.07391474384042</v>
      </c>
      <c r="D151" s="93">
        <v>48.072083773033519</v>
      </c>
      <c r="E151" s="93">
        <v>40.275197195442601</v>
      </c>
      <c r="F151" s="96">
        <f t="shared" si="58"/>
        <v>159.00183097080691</v>
      </c>
      <c r="G151" s="70">
        <v>54.018099999999997</v>
      </c>
      <c r="J151" s="70">
        <v>0.32079999999999997</v>
      </c>
      <c r="K151" s="70">
        <f t="shared" si="42"/>
        <v>7.2468719999999986E-2</v>
      </c>
      <c r="L151" s="70">
        <v>8.5131999999999994</v>
      </c>
      <c r="M151" s="70">
        <v>39.8035</v>
      </c>
      <c r="N151" s="71">
        <v>67.784400000000005</v>
      </c>
      <c r="O151" s="71">
        <f t="shared" si="27"/>
        <v>52.633360769027696</v>
      </c>
      <c r="P151" s="71">
        <v>48.345999999999997</v>
      </c>
      <c r="Q151" s="71">
        <v>18.167100000000001</v>
      </c>
      <c r="R151" s="71">
        <v>4.7736000000000001</v>
      </c>
      <c r="S151" s="71">
        <v>31.436</v>
      </c>
      <c r="T151" s="72"/>
      <c r="U151" s="73"/>
      <c r="V151" s="73"/>
      <c r="W151" s="72">
        <f t="shared" si="40"/>
        <v>578.48329848158789</v>
      </c>
      <c r="X151" s="72"/>
      <c r="Y151" s="72"/>
      <c r="Z151" s="72"/>
      <c r="AA151" s="72"/>
      <c r="AB151" s="72"/>
      <c r="AD151" s="74">
        <v>6.91</v>
      </c>
      <c r="AE151" s="97"/>
      <c r="AF151" s="97"/>
      <c r="AG151" s="97"/>
      <c r="AH151" s="96">
        <f t="shared" si="39"/>
        <v>0</v>
      </c>
      <c r="AI151" s="70">
        <v>55.459499999999998</v>
      </c>
      <c r="AL151" s="70">
        <v>22.398299999999999</v>
      </c>
      <c r="AM151" s="70">
        <v>0.92300000000000004</v>
      </c>
      <c r="AN151" s="71">
        <v>87.488500000000002</v>
      </c>
      <c r="AO151" s="71">
        <v>53.717199999999998</v>
      </c>
      <c r="AP151" s="71">
        <v>21.7118</v>
      </c>
      <c r="AQ151" s="71">
        <v>4.8662999999999998</v>
      </c>
      <c r="AR151" s="71">
        <v>61.454700000000003</v>
      </c>
      <c r="AS151" s="72"/>
      <c r="AT151" s="75"/>
      <c r="AU151" s="75"/>
      <c r="AV151" s="75"/>
      <c r="AW151" s="75"/>
      <c r="AX151" s="72"/>
      <c r="AY151" s="72"/>
      <c r="AZ151" s="72"/>
      <c r="BA151" s="72"/>
      <c r="BC151" s="74">
        <v>6.68</v>
      </c>
      <c r="BD151" s="93">
        <v>122.99413375048884</v>
      </c>
      <c r="BE151" s="93">
        <v>101.72578943096032</v>
      </c>
      <c r="BF151" s="93">
        <v>46.758983347940408</v>
      </c>
      <c r="BG151" s="88">
        <f t="shared" si="59"/>
        <v>21.268344319528524</v>
      </c>
      <c r="BH151" s="70">
        <v>56.637099999999997</v>
      </c>
      <c r="BM151" s="70">
        <v>24.626000000000001</v>
      </c>
      <c r="BN151" s="70">
        <v>0.56530000000000002</v>
      </c>
      <c r="BO151" s="71">
        <v>86.893600000000006</v>
      </c>
      <c r="BP151" s="71">
        <f t="shared" si="41"/>
        <v>67.471308993213555</v>
      </c>
      <c r="BQ151" s="71">
        <v>53.828499999999998</v>
      </c>
      <c r="BR151" s="71">
        <v>21.983499999999999</v>
      </c>
      <c r="BS151" s="71">
        <v>4.8425000000000002</v>
      </c>
      <c r="BT151" s="71">
        <v>60.729799999999997</v>
      </c>
      <c r="BU151" s="72"/>
      <c r="BV151" s="72"/>
      <c r="BW151" s="72"/>
      <c r="BX151" s="72">
        <f t="shared" si="50"/>
        <v>218.55358129127831</v>
      </c>
      <c r="BY151" s="72"/>
      <c r="BZ151" s="72"/>
      <c r="CA151" s="72"/>
      <c r="CB151" s="72"/>
      <c r="CD151" s="74">
        <v>6.66</v>
      </c>
      <c r="CE151" s="69"/>
      <c r="CF151" s="69"/>
      <c r="CG151" s="69"/>
      <c r="CH151" s="69">
        <f t="shared" si="43"/>
        <v>0</v>
      </c>
      <c r="CI151" s="76">
        <v>55.159700000000001</v>
      </c>
      <c r="CJ151" s="76">
        <v>0.70120000000000005</v>
      </c>
      <c r="CK151" s="177">
        <v>372.68049999999999</v>
      </c>
      <c r="CL151" s="70">
        <v>19.336300000000001</v>
      </c>
      <c r="CM151" s="70">
        <v>24.886199999999999</v>
      </c>
      <c r="CN151" s="71">
        <v>0.4239</v>
      </c>
      <c r="CO151" s="71">
        <v>54.883400000000002</v>
      </c>
      <c r="CP151" s="71">
        <v>24.0792</v>
      </c>
      <c r="CQ151" s="71">
        <v>5.6123000000000003</v>
      </c>
      <c r="CR151" s="71">
        <v>103.048</v>
      </c>
      <c r="CS151" s="66"/>
      <c r="CT151" s="66"/>
      <c r="CU151" s="66"/>
      <c r="CV151" s="66"/>
      <c r="CW151" s="66"/>
      <c r="CX151" s="66"/>
      <c r="CY151" s="66"/>
      <c r="CZ151" s="66"/>
      <c r="DA151" s="168"/>
      <c r="DB151" s="67">
        <v>6.71</v>
      </c>
      <c r="DC151" s="69">
        <v>10.784513101290575</v>
      </c>
      <c r="DD151" s="69">
        <v>2.6934004383472687</v>
      </c>
      <c r="DE151" s="69">
        <v>71.510955302366355</v>
      </c>
      <c r="DF151" s="69">
        <f t="shared" si="48"/>
        <v>8.0911126629433063</v>
      </c>
      <c r="DG151" s="70">
        <v>55.278700000000001</v>
      </c>
      <c r="DH151" s="70">
        <v>0.73360000000000003</v>
      </c>
      <c r="DI151" s="70">
        <f t="shared" si="57"/>
        <v>0.22335686861951695</v>
      </c>
      <c r="DJ151" s="177">
        <v>374.92180000000002</v>
      </c>
      <c r="DK151" s="177">
        <f t="shared" si="44"/>
        <v>84.694834619999995</v>
      </c>
      <c r="DL151" s="70">
        <v>19.6736</v>
      </c>
      <c r="DM151" s="70">
        <v>24.467099999999999</v>
      </c>
      <c r="DN151" s="71">
        <v>0.38479999999999998</v>
      </c>
      <c r="DO151" s="71">
        <f t="shared" si="45"/>
        <v>0.29879024117528302</v>
      </c>
      <c r="DP151" s="180">
        <v>55.0383</v>
      </c>
      <c r="DQ151" s="180">
        <v>24.0459</v>
      </c>
      <c r="DR151" s="71">
        <v>5.3884999999999996</v>
      </c>
      <c r="DS151" s="180">
        <v>100.628</v>
      </c>
      <c r="DT151" s="66"/>
      <c r="DU151" s="79"/>
      <c r="DV151" s="79">
        <f t="shared" si="49"/>
        <v>17.033432077751385</v>
      </c>
      <c r="DW151" s="119"/>
      <c r="DX151" s="79"/>
      <c r="DY151" s="136"/>
      <c r="DZ151" s="168"/>
      <c r="EA151" s="74">
        <v>6.73</v>
      </c>
      <c r="EB151" s="78"/>
      <c r="EC151" s="78"/>
      <c r="ED151" s="78"/>
      <c r="EE151" s="78">
        <f t="shared" si="35"/>
        <v>86.623836851643901</v>
      </c>
      <c r="EF151" s="79">
        <f t="shared" si="53"/>
        <v>62.219552083017568</v>
      </c>
      <c r="EG151" s="66"/>
      <c r="EH151" s="66"/>
      <c r="EI151" s="66"/>
      <c r="EJ151" s="79">
        <f t="shared" si="54"/>
        <v>94.911308496548784</v>
      </c>
      <c r="EK151" s="79">
        <f t="shared" si="56"/>
        <v>92.20629011105062</v>
      </c>
      <c r="EL151" s="66"/>
      <c r="EM151" s="66"/>
      <c r="EN151" s="66"/>
      <c r="EO151" s="66"/>
      <c r="EP151" s="79">
        <f t="shared" si="55"/>
        <v>97.055501494604769</v>
      </c>
    </row>
    <row r="152" spans="1:146" x14ac:dyDescent="0.3">
      <c r="A152" s="86">
        <v>44830</v>
      </c>
      <c r="B152" s="106">
        <f t="shared" si="29"/>
        <v>131</v>
      </c>
      <c r="C152" s="96">
        <v>196.48650762612436</v>
      </c>
      <c r="D152" s="93">
        <v>52.250994398896012</v>
      </c>
      <c r="E152" s="93">
        <v>41.316389132340056</v>
      </c>
      <c r="F152" s="96">
        <f t="shared" si="58"/>
        <v>144.23551322722835</v>
      </c>
      <c r="G152" s="70">
        <v>71.188400000000001</v>
      </c>
      <c r="J152" s="70">
        <v>0.17599999999999999</v>
      </c>
      <c r="L152" s="70">
        <v>11.8497</v>
      </c>
      <c r="M152" s="70">
        <v>32.551299999999998</v>
      </c>
      <c r="N152" s="71">
        <v>64.521500000000003</v>
      </c>
      <c r="O152" s="71">
        <f t="shared" si="27"/>
        <v>50.099777926172102</v>
      </c>
      <c r="P152" s="71">
        <v>52.789000000000001</v>
      </c>
      <c r="Q152" s="71">
        <v>25.876999999999999</v>
      </c>
      <c r="R152" s="71">
        <v>4.3875999999999999</v>
      </c>
      <c r="S152" s="71">
        <v>30.9771</v>
      </c>
      <c r="T152" s="72"/>
      <c r="U152" s="73"/>
      <c r="V152" s="73"/>
      <c r="W152" s="72">
        <f t="shared" si="40"/>
        <v>526.07468354607886</v>
      </c>
      <c r="X152" s="72"/>
      <c r="Y152" s="72"/>
      <c r="Z152" s="72"/>
      <c r="AA152" s="72"/>
      <c r="AB152" s="72"/>
      <c r="AD152" s="74">
        <v>7.27</v>
      </c>
      <c r="AE152" s="97"/>
      <c r="AF152" s="97"/>
      <c r="AG152" s="97"/>
      <c r="AH152" s="96">
        <f t="shared" si="39"/>
        <v>0</v>
      </c>
      <c r="AI152" s="70">
        <v>68.682500000000005</v>
      </c>
      <c r="AL152" s="70">
        <v>25.3049</v>
      </c>
      <c r="AM152" s="70">
        <v>1.6254</v>
      </c>
      <c r="AN152" s="71">
        <v>87.805000000000007</v>
      </c>
      <c r="AO152" s="71">
        <v>59.5276</v>
      </c>
      <c r="AP152" s="71">
        <v>26.733699999999999</v>
      </c>
      <c r="AQ152" s="71">
        <v>5.4195000000000002</v>
      </c>
      <c r="AR152" s="71">
        <v>65.638400000000004</v>
      </c>
      <c r="AS152" s="72"/>
      <c r="AT152" s="75"/>
      <c r="AU152" s="75"/>
      <c r="AV152" s="75"/>
      <c r="AW152" s="75"/>
      <c r="AX152" s="72"/>
      <c r="AY152" s="72"/>
      <c r="AZ152" s="72"/>
      <c r="BA152" s="72"/>
      <c r="BC152" s="74">
        <v>6.72</v>
      </c>
      <c r="BD152" s="93">
        <v>135.86233867813843</v>
      </c>
      <c r="BE152" s="93">
        <v>117.12639012906891</v>
      </c>
      <c r="BF152" s="93">
        <v>48.273444347063986</v>
      </c>
      <c r="BG152" s="88">
        <f t="shared" si="59"/>
        <v>18.735948549069519</v>
      </c>
      <c r="BH152" s="70">
        <v>67.323999999999998</v>
      </c>
      <c r="BM152" s="70">
        <v>27.398</v>
      </c>
      <c r="BN152" s="70">
        <v>0.58850000000000002</v>
      </c>
      <c r="BO152" s="71">
        <v>92.566000000000003</v>
      </c>
      <c r="BP152" s="71">
        <f t="shared" si="41"/>
        <v>71.875825012035477</v>
      </c>
      <c r="BQ152" s="71">
        <v>59.936</v>
      </c>
      <c r="BR152" s="71">
        <v>27.800699999999999</v>
      </c>
      <c r="BS152" s="71">
        <v>5.4934000000000003</v>
      </c>
      <c r="BT152" s="71">
        <v>68.6143</v>
      </c>
      <c r="BU152" s="72"/>
      <c r="BV152" s="72"/>
      <c r="BW152" s="72"/>
      <c r="BX152" s="72">
        <f t="shared" si="50"/>
        <v>210.38027394212187</v>
      </c>
      <c r="BY152" s="72"/>
      <c r="BZ152" s="72"/>
      <c r="CA152" s="72"/>
      <c r="CB152" s="72"/>
      <c r="CD152" s="74">
        <v>6.67</v>
      </c>
      <c r="CE152" s="69"/>
      <c r="CF152" s="69"/>
      <c r="CG152" s="69"/>
      <c r="CH152" s="69">
        <f t="shared" si="43"/>
        <v>0</v>
      </c>
      <c r="CI152" s="76">
        <v>64.779600000000002</v>
      </c>
      <c r="CJ152" s="76">
        <v>2.8845999999999998</v>
      </c>
      <c r="CK152" s="177">
        <v>317.44639999999998</v>
      </c>
      <c r="CL152" s="70">
        <v>21.955100000000002</v>
      </c>
      <c r="CM152" s="76">
        <v>24.8691</v>
      </c>
      <c r="CN152" s="71">
        <v>12.1646</v>
      </c>
      <c r="CO152" s="71">
        <v>62.7943</v>
      </c>
      <c r="CP152" s="71">
        <v>29.292100000000001</v>
      </c>
      <c r="CQ152" s="71">
        <v>6.2469999999999999</v>
      </c>
      <c r="CR152" s="71">
        <v>100.8492</v>
      </c>
      <c r="CS152" s="66"/>
      <c r="CT152" s="66"/>
      <c r="CU152" s="66"/>
      <c r="CV152" s="66"/>
      <c r="CW152" s="66"/>
      <c r="CX152" s="66"/>
      <c r="CY152" s="66"/>
      <c r="CZ152" s="66"/>
      <c r="DA152" s="168"/>
      <c r="DB152" s="67">
        <v>6.94</v>
      </c>
      <c r="DC152" s="69">
        <v>16.32225263981228</v>
      </c>
      <c r="DD152" s="69">
        <v>7.9243445084828306</v>
      </c>
      <c r="DE152" s="69">
        <v>75.013146362839606</v>
      </c>
      <c r="DF152" s="69">
        <f t="shared" si="48"/>
        <v>8.3979081313294497</v>
      </c>
      <c r="DG152" s="70">
        <v>64.951400000000007</v>
      </c>
      <c r="DH152" s="70">
        <v>0.56499999999999995</v>
      </c>
      <c r="DI152" s="70">
        <f t="shared" si="57"/>
        <v>0.17202376059163993</v>
      </c>
      <c r="DJ152" s="177">
        <v>368.12670000000003</v>
      </c>
      <c r="DK152" s="177">
        <f t="shared" si="44"/>
        <v>83.159821530000002</v>
      </c>
      <c r="DL152" s="70">
        <v>20.572099999999999</v>
      </c>
      <c r="DM152" s="70">
        <v>26.605899999999998</v>
      </c>
      <c r="DN152" s="71">
        <v>6.1139000000000001</v>
      </c>
      <c r="DO152" s="71">
        <f t="shared" si="45"/>
        <v>4.747332784619446</v>
      </c>
      <c r="DP152" s="180">
        <v>63.032200000000003</v>
      </c>
      <c r="DQ152" s="180">
        <v>28.376300000000001</v>
      </c>
      <c r="DR152" s="71">
        <v>6.2563000000000004</v>
      </c>
      <c r="DS152" s="180">
        <v>102.9273</v>
      </c>
      <c r="DT152" s="66"/>
      <c r="DU152" s="79"/>
      <c r="DV152" s="79">
        <f t="shared" si="49"/>
        <v>18.410728973977299</v>
      </c>
      <c r="DW152" s="119"/>
      <c r="DX152" s="79"/>
      <c r="DY152" s="136"/>
      <c r="DZ152" s="168"/>
      <c r="EA152" s="74">
        <v>6.98</v>
      </c>
      <c r="EB152" s="78"/>
      <c r="EC152" s="78"/>
      <c r="ED152" s="78"/>
      <c r="EE152" s="78">
        <f t="shared" si="35"/>
        <v>87.010169597030568</v>
      </c>
      <c r="EF152" s="79">
        <f t="shared" si="53"/>
        <v>60.009428219578119</v>
      </c>
      <c r="EG152" s="66"/>
      <c r="EH152" s="66"/>
      <c r="EI152" s="66"/>
      <c r="EJ152" s="79">
        <f t="shared" si="54"/>
        <v>94.17764186958631</v>
      </c>
      <c r="EK152" s="79">
        <f t="shared" si="56"/>
        <v>91.248833063577862</v>
      </c>
      <c r="EL152" s="66"/>
      <c r="EM152" s="66"/>
      <c r="EN152" s="66"/>
      <c r="EO152" s="66"/>
      <c r="EP152" s="79">
        <f t="shared" si="55"/>
        <v>96.500358304665554</v>
      </c>
    </row>
    <row r="153" spans="1:146" x14ac:dyDescent="0.3">
      <c r="A153" s="86">
        <v>44833</v>
      </c>
      <c r="B153" s="106">
        <f t="shared" si="29"/>
        <v>134</v>
      </c>
      <c r="C153" s="96">
        <v>189.93704600484264</v>
      </c>
      <c r="D153" s="93">
        <v>47.024314936318028</v>
      </c>
      <c r="E153" s="93">
        <v>34.476336090068806</v>
      </c>
      <c r="F153" s="96">
        <f t="shared" si="58"/>
        <v>142.91273106852461</v>
      </c>
      <c r="G153" s="70">
        <v>40.607999999999997</v>
      </c>
      <c r="J153" s="70">
        <v>0.21149999999999999</v>
      </c>
      <c r="L153" s="70">
        <v>12.217499999999999</v>
      </c>
      <c r="M153" s="70">
        <v>22.8779</v>
      </c>
      <c r="N153" s="71">
        <v>50.198599999999999</v>
      </c>
      <c r="O153" s="71">
        <f t="shared" si="27"/>
        <v>38.97830509527433</v>
      </c>
      <c r="P153" s="71">
        <v>34.794699999999999</v>
      </c>
      <c r="Q153" s="71">
        <v>16.890899999999998</v>
      </c>
      <c r="R153" s="71">
        <v>3.2970999999999999</v>
      </c>
      <c r="S153" s="71">
        <v>26.790900000000001</v>
      </c>
      <c r="T153" s="72"/>
      <c r="U153" s="73"/>
      <c r="V153" s="73"/>
      <c r="W153" s="72">
        <f t="shared" si="40"/>
        <v>521.37986510840756</v>
      </c>
      <c r="X153" s="72"/>
      <c r="Y153" s="72"/>
      <c r="Z153" s="72"/>
      <c r="AA153" s="72"/>
      <c r="AB153" s="72"/>
      <c r="AD153" s="74">
        <v>7.4</v>
      </c>
      <c r="AE153" s="97"/>
      <c r="AF153" s="97"/>
      <c r="AG153" s="97"/>
      <c r="AH153" s="96">
        <f t="shared" si="39"/>
        <v>0</v>
      </c>
      <c r="AI153" s="70">
        <v>62.480899999999998</v>
      </c>
      <c r="AL153" s="70">
        <v>25.839099999999998</v>
      </c>
      <c r="AM153" s="70">
        <v>1.4433</v>
      </c>
      <c r="AN153" s="71">
        <v>90.001099999999994</v>
      </c>
      <c r="AO153" s="71">
        <v>52.686900000000001</v>
      </c>
      <c r="AP153" s="71">
        <v>23.346299999999999</v>
      </c>
      <c r="AQ153" s="71">
        <v>5.3623000000000003</v>
      </c>
      <c r="AR153" s="71">
        <v>67.712599999999995</v>
      </c>
      <c r="AS153" s="72"/>
      <c r="AT153" s="72"/>
      <c r="AU153" s="72"/>
      <c r="AV153" s="72"/>
      <c r="AW153" s="72"/>
      <c r="AX153" s="72"/>
      <c r="AY153" s="72"/>
      <c r="AZ153" s="72"/>
      <c r="BA153" s="72"/>
      <c r="BC153" s="74">
        <v>6.71</v>
      </c>
      <c r="BD153" s="93">
        <v>134.78934624697339</v>
      </c>
      <c r="BE153" s="93">
        <v>119.12003087610961</v>
      </c>
      <c r="BF153" s="93">
        <v>49.120856209604561</v>
      </c>
      <c r="BG153" s="93">
        <f t="shared" si="59"/>
        <v>15.669315370863785</v>
      </c>
      <c r="BH153" s="70">
        <v>63.011800000000001</v>
      </c>
      <c r="BM153" s="70">
        <v>26.006799999999998</v>
      </c>
      <c r="BN153" s="70">
        <v>2.5773999999999999</v>
      </c>
      <c r="BO153" s="71">
        <v>91.716200000000001</v>
      </c>
      <c r="BP153" s="71">
        <f t="shared" si="41"/>
        <v>71.215970680042858</v>
      </c>
      <c r="BQ153" s="71">
        <v>53.350900000000003</v>
      </c>
      <c r="BR153" s="71">
        <v>24.2103</v>
      </c>
      <c r="BS153" s="71">
        <v>5.2077999999999998</v>
      </c>
      <c r="BT153" s="71">
        <v>64.656000000000006</v>
      </c>
      <c r="BU153" s="72"/>
      <c r="BV153" s="72"/>
      <c r="BW153" s="72"/>
      <c r="BX153" s="72">
        <f t="shared" si="50"/>
        <v>200.48271535946287</v>
      </c>
      <c r="BY153" s="72"/>
      <c r="BZ153" s="72"/>
      <c r="CA153" s="72"/>
      <c r="CB153" s="72"/>
      <c r="CD153" s="74">
        <v>6.65</v>
      </c>
      <c r="CE153" s="69"/>
      <c r="CF153" s="69"/>
      <c r="CG153" s="69"/>
      <c r="CH153" s="69">
        <f t="shared" si="43"/>
        <v>0</v>
      </c>
      <c r="CI153" s="76">
        <v>67.037099999999995</v>
      </c>
      <c r="CJ153" s="76">
        <v>1.8006</v>
      </c>
      <c r="CK153" s="177">
        <v>331.91989999999998</v>
      </c>
      <c r="CL153" s="76">
        <v>20.761199999999999</v>
      </c>
      <c r="CM153" s="76">
        <v>28.526299999999999</v>
      </c>
      <c r="CN153" s="71">
        <v>10.8782</v>
      </c>
      <c r="CO153" s="71">
        <v>58.861400000000003</v>
      </c>
      <c r="CP153" s="71">
        <v>26.0031</v>
      </c>
      <c r="CQ153" s="71">
        <v>5.9351000000000003</v>
      </c>
      <c r="CR153" s="71">
        <v>104.8755</v>
      </c>
      <c r="CS153" s="72"/>
      <c r="CT153" s="72"/>
      <c r="CU153" s="72"/>
      <c r="CV153" s="72"/>
      <c r="CW153" s="72"/>
      <c r="CX153" s="72"/>
      <c r="CY153" s="72"/>
      <c r="CZ153" s="72"/>
      <c r="DA153" s="168"/>
      <c r="DB153" s="67">
        <v>6.94</v>
      </c>
      <c r="DC153" s="69">
        <v>17.433414043583536</v>
      </c>
      <c r="DD153" s="69">
        <v>9.5571851280072053</v>
      </c>
      <c r="DE153" s="69">
        <v>77.192299673361603</v>
      </c>
      <c r="DF153" s="69">
        <f t="shared" si="48"/>
        <v>7.8762289155763305</v>
      </c>
      <c r="DG153" s="70">
        <v>68.057699999999997</v>
      </c>
      <c r="DH153" s="70">
        <v>0.82689999999999997</v>
      </c>
      <c r="DI153" s="70">
        <f t="shared" si="57"/>
        <v>0.25176362412960546</v>
      </c>
      <c r="DJ153" s="177">
        <v>361.05270000000002</v>
      </c>
      <c r="DK153" s="177">
        <f t="shared" si="44"/>
        <v>81.561804929999994</v>
      </c>
      <c r="DL153" s="70">
        <v>20.0351</v>
      </c>
      <c r="DM153" s="70">
        <v>30.2347</v>
      </c>
      <c r="DN153" s="71">
        <v>7.7949999999999999</v>
      </c>
      <c r="DO153" s="71">
        <f t="shared" si="45"/>
        <v>6.0526765331635426</v>
      </c>
      <c r="DP153" s="71">
        <v>59.050199999999997</v>
      </c>
      <c r="DQ153" s="180">
        <v>25.555900000000001</v>
      </c>
      <c r="DR153" s="71">
        <v>5.9633000000000003</v>
      </c>
      <c r="DS153" s="180">
        <v>108.6185</v>
      </c>
      <c r="DT153" s="72"/>
      <c r="DU153" s="72"/>
      <c r="DV153" s="79">
        <f t="shared" si="49"/>
        <v>16.068754470696824</v>
      </c>
      <c r="DW153" s="73"/>
      <c r="DX153" s="72"/>
      <c r="DY153" s="75"/>
      <c r="DZ153" s="168"/>
      <c r="EA153" s="74">
        <v>7</v>
      </c>
      <c r="EB153" s="78"/>
      <c r="EC153" s="78"/>
      <c r="ED153" s="78"/>
      <c r="EE153" s="78">
        <f t="shared" si="35"/>
        <v>89.035745623424845</v>
      </c>
      <c r="EF153" s="79">
        <f t="shared" si="53"/>
        <v>61.54766825953709</v>
      </c>
      <c r="EG153" s="66"/>
      <c r="EH153" s="66"/>
      <c r="EI153" s="66"/>
      <c r="EJ153" s="79">
        <f t="shared" si="54"/>
        <v>94.488784269471566</v>
      </c>
      <c r="EK153" s="79">
        <f t="shared" si="56"/>
        <v>91.984967660735364</v>
      </c>
      <c r="EL153" s="66"/>
      <c r="EM153" s="66"/>
      <c r="EN153" s="66"/>
      <c r="EO153" s="66"/>
      <c r="EP153" s="79">
        <f t="shared" si="55"/>
        <v>96.918033175800574</v>
      </c>
    </row>
    <row r="154" spans="1:146" x14ac:dyDescent="0.3">
      <c r="A154" s="86">
        <v>44837</v>
      </c>
      <c r="B154" s="106">
        <f t="shared" si="29"/>
        <v>138</v>
      </c>
      <c r="C154" s="96">
        <v>176.54641654641657</v>
      </c>
      <c r="D154" s="93">
        <v>55.51973600710749</v>
      </c>
      <c r="E154" s="93">
        <v>46.691700513449298</v>
      </c>
      <c r="F154" s="96">
        <f t="shared" si="58"/>
        <v>121.02668053930907</v>
      </c>
      <c r="T154" s="72"/>
      <c r="U154" s="73"/>
      <c r="V154" s="73"/>
      <c r="W154" s="72">
        <f>3.5492*F154 + 14.154</f>
        <v>443.70189457011571</v>
      </c>
      <c r="X154" s="72"/>
      <c r="Y154" s="72"/>
      <c r="Z154" s="72"/>
      <c r="AA154" s="72"/>
      <c r="AB154" s="72"/>
      <c r="AD154" s="74">
        <v>7.06</v>
      </c>
      <c r="AE154" s="97"/>
      <c r="AF154" s="97"/>
      <c r="AG154" s="97"/>
      <c r="AH154" s="96">
        <f t="shared" si="39"/>
        <v>0</v>
      </c>
      <c r="AS154" s="72"/>
      <c r="AT154" s="72"/>
      <c r="AU154" s="72"/>
      <c r="AV154" s="72"/>
      <c r="AW154" s="72"/>
      <c r="AX154" s="72"/>
      <c r="AY154" s="72"/>
      <c r="AZ154" s="72"/>
      <c r="BA154" s="72"/>
      <c r="BC154" s="74">
        <v>6.94</v>
      </c>
      <c r="BD154" s="93">
        <v>131.86147186147184</v>
      </c>
      <c r="BE154" s="93">
        <v>111.69945424546263</v>
      </c>
      <c r="BF154" s="93">
        <v>48.058855084680815</v>
      </c>
      <c r="BG154" s="93">
        <f t="shared" si="59"/>
        <v>20.162017616009209</v>
      </c>
      <c r="BU154" s="72"/>
      <c r="BV154" s="72"/>
      <c r="BW154" s="72"/>
      <c r="BX154" s="72">
        <f t="shared" si="50"/>
        <v>214.98291185566973</v>
      </c>
      <c r="BY154" s="72"/>
      <c r="BZ154" s="72"/>
      <c r="CA154" s="72"/>
      <c r="CB154" s="72"/>
      <c r="CD154" s="74">
        <v>6.76</v>
      </c>
      <c r="CE154" s="69"/>
      <c r="CF154" s="69"/>
      <c r="CG154" s="69"/>
      <c r="CH154" s="69">
        <f t="shared" si="43"/>
        <v>0</v>
      </c>
      <c r="CI154" s="76"/>
      <c r="CJ154" s="76"/>
      <c r="CK154" s="177"/>
      <c r="CL154" s="76"/>
      <c r="CM154" s="76"/>
      <c r="CN154" s="71"/>
      <c r="CO154" s="71"/>
      <c r="CP154" s="71"/>
      <c r="CQ154" s="71"/>
      <c r="CR154" s="71"/>
      <c r="CS154" s="72"/>
      <c r="CT154" s="72"/>
      <c r="CU154" s="72"/>
      <c r="CV154" s="72"/>
      <c r="CW154" s="72"/>
      <c r="CX154" s="72"/>
      <c r="CY154" s="72"/>
      <c r="CZ154" s="72"/>
      <c r="DA154" s="168"/>
      <c r="DB154" s="67">
        <v>6.71</v>
      </c>
      <c r="DC154" s="69">
        <v>9.4285714285714288</v>
      </c>
      <c r="DD154" s="69">
        <v>2.865338240893514</v>
      </c>
      <c r="DE154" s="69">
        <v>69.062763430147896</v>
      </c>
      <c r="DF154" s="69">
        <f t="shared" si="48"/>
        <v>6.5632331876779144</v>
      </c>
      <c r="DG154" s="70"/>
      <c r="DH154" s="70"/>
      <c r="DI154" s="70"/>
      <c r="DJ154" s="177"/>
      <c r="DK154" s="70"/>
      <c r="DL154" s="70"/>
      <c r="DM154" s="70"/>
      <c r="DN154" s="71"/>
      <c r="DO154" s="71"/>
      <c r="DP154" s="71"/>
      <c r="DQ154" s="180"/>
      <c r="DR154" s="71"/>
      <c r="DS154" s="180"/>
      <c r="DT154" s="72"/>
      <c r="DU154" s="72"/>
      <c r="DV154" s="79">
        <f xml:space="preserve"> 4.4893*DF154 - 19.29</f>
        <v>10.174322749442464</v>
      </c>
      <c r="DW154" s="73"/>
      <c r="DX154" s="72"/>
      <c r="DY154" s="75"/>
      <c r="DZ154" s="168"/>
      <c r="EA154" s="74">
        <v>6.72</v>
      </c>
      <c r="EB154" s="78"/>
      <c r="EC154" s="78"/>
      <c r="ED154" s="78"/>
      <c r="EE154" s="78">
        <f t="shared" si="35"/>
        <v>83.340848872195039</v>
      </c>
      <c r="EF154" s="79">
        <f t="shared" si="53"/>
        <v>51.547894095886669</v>
      </c>
      <c r="EG154" s="66"/>
      <c r="EH154" s="66"/>
      <c r="EI154" s="66"/>
      <c r="EJ154" s="79">
        <f t="shared" si="54"/>
        <v>94.577036106062423</v>
      </c>
      <c r="EK154" s="79">
        <f t="shared" si="56"/>
        <v>95.267380713368937</v>
      </c>
      <c r="EL154" s="66"/>
      <c r="EM154" s="66"/>
      <c r="EN154" s="66"/>
      <c r="EO154" s="66"/>
      <c r="EP154" s="79">
        <f t="shared" si="55"/>
        <v>97.706946291203025</v>
      </c>
    </row>
    <row r="155" spans="1:146" x14ac:dyDescent="0.3">
      <c r="A155" s="86">
        <v>44840</v>
      </c>
      <c r="B155" s="106">
        <f t="shared" si="29"/>
        <v>141</v>
      </c>
      <c r="C155" s="96">
        <v>180.07633587786259</v>
      </c>
      <c r="D155" s="93">
        <v>56.579590786256588</v>
      </c>
      <c r="E155" s="93">
        <v>42.052091554853988</v>
      </c>
      <c r="F155" s="96">
        <f t="shared" si="58"/>
        <v>123.496745091606</v>
      </c>
      <c r="T155" s="72"/>
      <c r="U155" s="73"/>
      <c r="V155" s="73"/>
      <c r="W155" s="72">
        <f t="shared" ref="W155:W169" si="61">3.5492*F155 + 14.154</f>
        <v>452.46864767912803</v>
      </c>
      <c r="X155" s="72"/>
      <c r="Y155" s="72"/>
      <c r="Z155" s="72"/>
      <c r="AA155" s="72"/>
      <c r="AB155" s="72"/>
      <c r="AD155" s="74">
        <v>7.08</v>
      </c>
      <c r="AE155" s="97"/>
      <c r="AF155" s="97"/>
      <c r="AG155" s="97"/>
      <c r="AH155" s="96">
        <f t="shared" si="39"/>
        <v>0</v>
      </c>
      <c r="AS155" s="72"/>
      <c r="AT155" s="72"/>
      <c r="AU155" s="72"/>
      <c r="AV155" s="72"/>
      <c r="AW155" s="72"/>
      <c r="AX155" s="72"/>
      <c r="AY155" s="72"/>
      <c r="AZ155" s="72"/>
      <c r="BA155" s="72"/>
      <c r="BC155" s="74">
        <v>6.68</v>
      </c>
      <c r="BD155" s="93">
        <v>137.60496183206106</v>
      </c>
      <c r="BE155" s="93">
        <v>118.74919572770555</v>
      </c>
      <c r="BF155" s="93">
        <v>50.746645619573798</v>
      </c>
      <c r="BG155" s="93">
        <f t="shared" si="59"/>
        <v>18.85576610435551</v>
      </c>
      <c r="BU155" s="72"/>
      <c r="BV155" s="72"/>
      <c r="BW155" s="72"/>
      <c r="BX155" s="72">
        <f t="shared" si="50"/>
        <v>210.76698510180739</v>
      </c>
      <c r="BY155" s="72"/>
      <c r="BZ155" s="72"/>
      <c r="CA155" s="72"/>
      <c r="CB155" s="72"/>
      <c r="CD155" s="74">
        <v>6.62</v>
      </c>
      <c r="CE155" s="69">
        <v>50.079722703639511</v>
      </c>
      <c r="CF155" s="69">
        <v>40.507887649095814</v>
      </c>
      <c r="CG155" s="69">
        <v>69.950328473001136</v>
      </c>
      <c r="CH155" s="69">
        <f t="shared" si="43"/>
        <v>9.5718350545436977</v>
      </c>
      <c r="CI155" s="76"/>
      <c r="CJ155" s="76"/>
      <c r="CK155" s="177"/>
      <c r="CL155" s="76"/>
      <c r="CM155" s="76"/>
      <c r="CN155" s="71"/>
      <c r="CO155" s="71"/>
      <c r="CP155" s="71"/>
      <c r="CQ155" s="71"/>
      <c r="CR155" s="71"/>
      <c r="CS155" s="72"/>
      <c r="CT155" s="72"/>
      <c r="CU155" s="72"/>
      <c r="CV155" s="72"/>
      <c r="CW155" s="72"/>
      <c r="CX155" s="72"/>
      <c r="CY155" s="72"/>
      <c r="CZ155" s="72"/>
      <c r="DA155" s="168"/>
      <c r="DB155" s="67">
        <v>6.74</v>
      </c>
      <c r="DC155" s="69">
        <v>9.8664122137404586</v>
      </c>
      <c r="DD155" s="69">
        <v>3.0286964354651911</v>
      </c>
      <c r="DE155" s="69">
        <v>66.961325966850822</v>
      </c>
      <c r="DF155" s="69">
        <f t="shared" si="48"/>
        <v>6.8377157782752676</v>
      </c>
      <c r="DG155" s="70"/>
      <c r="DH155" s="70"/>
      <c r="DI155" s="70"/>
      <c r="DJ155" s="177"/>
      <c r="DK155" s="70"/>
      <c r="DL155" s="70"/>
      <c r="DM155" s="70"/>
      <c r="DN155" s="71"/>
      <c r="DO155" s="71"/>
      <c r="DP155" s="71"/>
      <c r="DQ155" s="180"/>
      <c r="DR155" s="71"/>
      <c r="DS155" s="180"/>
      <c r="DT155" s="72"/>
      <c r="DU155" s="72"/>
      <c r="DV155" s="79">
        <f t="shared" ref="DV155:DV170" si="62" xml:space="preserve"> 4.4893*DF155 - 19.29</f>
        <v>11.40655744341116</v>
      </c>
      <c r="DW155" s="73"/>
      <c r="DX155" s="72"/>
      <c r="DY155" s="75"/>
      <c r="DZ155" s="168"/>
      <c r="EA155" s="74">
        <v>6.76</v>
      </c>
      <c r="EB155" s="78"/>
      <c r="EC155" s="78"/>
      <c r="ED155" s="78"/>
      <c r="EE155" s="78">
        <f t="shared" si="35"/>
        <v>84.731770792526646</v>
      </c>
      <c r="EF155" s="79">
        <f t="shared" si="53"/>
        <v>53.41843325876701</v>
      </c>
      <c r="EG155" s="66"/>
      <c r="EH155" s="66"/>
      <c r="EI155" s="66"/>
      <c r="EJ155" s="79">
        <f t="shared" si="54"/>
        <v>94.463242109576839</v>
      </c>
      <c r="EK155" s="79">
        <f t="shared" si="56"/>
        <v>94.58807201806232</v>
      </c>
      <c r="EL155" s="66"/>
      <c r="EM155" s="66"/>
      <c r="EN155" s="66"/>
      <c r="EO155" s="66"/>
      <c r="EP155" s="79">
        <f t="shared" si="55"/>
        <v>97.479039155106221</v>
      </c>
    </row>
    <row r="156" spans="1:146" x14ac:dyDescent="0.3">
      <c r="A156" s="86">
        <v>44844</v>
      </c>
      <c r="B156" s="106">
        <f t="shared" si="29"/>
        <v>145</v>
      </c>
      <c r="C156" s="96">
        <v>161.60831889081456</v>
      </c>
      <c r="D156" s="93">
        <v>59.551109401051683</v>
      </c>
      <c r="E156" s="93">
        <v>52.222400256369177</v>
      </c>
      <c r="F156" s="96">
        <f t="shared" si="58"/>
        <v>102.05720948976287</v>
      </c>
      <c r="T156" s="72"/>
      <c r="U156" s="73"/>
      <c r="V156" s="73"/>
      <c r="W156" s="72">
        <f t="shared" si="61"/>
        <v>376.37544792106638</v>
      </c>
      <c r="X156" s="72"/>
      <c r="Y156" s="72"/>
      <c r="Z156" s="72"/>
      <c r="AA156" s="72"/>
      <c r="AB156" s="72"/>
      <c r="AD156" s="74">
        <v>6.99</v>
      </c>
      <c r="AE156" s="97">
        <v>147.74350086655113</v>
      </c>
      <c r="AF156" s="97">
        <v>125.75092984481211</v>
      </c>
      <c r="AG156" s="97">
        <v>63.88719756449288</v>
      </c>
      <c r="AH156" s="96">
        <f t="shared" si="39"/>
        <v>21.992571021739025</v>
      </c>
      <c r="AS156" s="72"/>
      <c r="AT156" s="72"/>
      <c r="AU156" s="72"/>
      <c r="AV156" s="72"/>
      <c r="AW156" s="72"/>
      <c r="AX156" s="72"/>
      <c r="AY156" s="72"/>
      <c r="AZ156" s="72"/>
      <c r="BA156" s="72"/>
      <c r="BC156" s="74">
        <v>6.75</v>
      </c>
      <c r="BD156" s="93">
        <v>149.68457538994801</v>
      </c>
      <c r="BE156" s="93">
        <v>122.81646787225856</v>
      </c>
      <c r="BF156" s="93">
        <v>60.74026598301554</v>
      </c>
      <c r="BG156" s="93">
        <f t="shared" si="59"/>
        <v>26.868107517689452</v>
      </c>
      <c r="BU156" s="72"/>
      <c r="BV156" s="72"/>
      <c r="BW156" s="72"/>
      <c r="BX156" s="72">
        <f t="shared" si="50"/>
        <v>236.6268170133427</v>
      </c>
      <c r="BY156" s="72"/>
      <c r="BZ156" s="72"/>
      <c r="CA156" s="72"/>
      <c r="CB156" s="72"/>
      <c r="CD156" s="74">
        <v>6.67</v>
      </c>
      <c r="CE156" s="69">
        <v>149.68457538994801</v>
      </c>
      <c r="CF156" s="69">
        <v>122.81646787225856</v>
      </c>
      <c r="CG156" s="69">
        <v>60.74026598301554</v>
      </c>
      <c r="CH156" s="69">
        <f t="shared" si="43"/>
        <v>26.868107517689452</v>
      </c>
      <c r="CI156" s="76"/>
      <c r="CJ156" s="76"/>
      <c r="CK156" s="177"/>
      <c r="CL156" s="76"/>
      <c r="CM156" s="76"/>
      <c r="CN156" s="71"/>
      <c r="CO156" s="71"/>
      <c r="CP156" s="71"/>
      <c r="CQ156" s="71"/>
      <c r="CR156" s="71"/>
      <c r="CS156" s="72"/>
      <c r="CT156" s="72"/>
      <c r="CU156" s="72"/>
      <c r="CV156" s="72"/>
      <c r="CW156" s="72"/>
      <c r="CX156" s="72"/>
      <c r="CY156" s="72"/>
      <c r="CZ156" s="72"/>
      <c r="DA156" s="168"/>
      <c r="DB156" s="67">
        <v>7.66</v>
      </c>
      <c r="DC156" s="69">
        <v>44.82033506643559</v>
      </c>
      <c r="DD156" s="69">
        <v>35.706040784917278</v>
      </c>
      <c r="DE156" s="69">
        <v>74.96875500721039</v>
      </c>
      <c r="DF156" s="69">
        <f t="shared" si="48"/>
        <v>9.1142942815183119</v>
      </c>
      <c r="DG156" s="70"/>
      <c r="DH156" s="70"/>
      <c r="DI156" s="70"/>
      <c r="DJ156" s="177"/>
      <c r="DK156" s="70"/>
      <c r="DL156" s="70"/>
      <c r="DM156" s="70"/>
      <c r="DN156" s="71"/>
      <c r="DO156" s="71"/>
      <c r="DP156" s="71"/>
      <c r="DQ156" s="180"/>
      <c r="DR156" s="71"/>
      <c r="DS156" s="180"/>
      <c r="DT156" s="72"/>
      <c r="DU156" s="72"/>
      <c r="DV156" s="79">
        <f t="shared" si="62"/>
        <v>21.626801318020156</v>
      </c>
      <c r="DW156" s="73"/>
      <c r="DX156" s="72"/>
      <c r="DY156" s="75"/>
      <c r="DZ156" s="168"/>
      <c r="EA156" s="74">
        <v>7.76</v>
      </c>
      <c r="EB156" s="78"/>
      <c r="EC156" s="78"/>
      <c r="ED156" s="78"/>
      <c r="EE156" s="78">
        <f t="shared" si="35"/>
        <v>73.673484066420087</v>
      </c>
      <c r="EF156" s="79">
        <f t="shared" si="53"/>
        <v>37.130113475688731</v>
      </c>
      <c r="EG156" s="66"/>
      <c r="EH156" s="66"/>
      <c r="EI156" s="66"/>
      <c r="EJ156" s="79">
        <f t="shared" si="54"/>
        <v>91.069426327561359</v>
      </c>
      <c r="EK156" s="79">
        <f t="shared" si="56"/>
        <v>90.860376016974982</v>
      </c>
      <c r="EL156" s="66"/>
      <c r="EM156" s="66"/>
      <c r="EN156" s="66"/>
      <c r="EO156" s="66"/>
      <c r="EP156" s="79">
        <f t="shared" si="55"/>
        <v>94.253928773123448</v>
      </c>
    </row>
    <row r="157" spans="1:146" x14ac:dyDescent="0.3">
      <c r="A157" s="86">
        <v>44846</v>
      </c>
      <c r="B157" s="106">
        <f t="shared" si="29"/>
        <v>147</v>
      </c>
      <c r="C157" s="96">
        <v>201.46884624496565</v>
      </c>
      <c r="D157" s="93">
        <v>60.444896402694795</v>
      </c>
      <c r="E157" s="93">
        <v>55.847464503042602</v>
      </c>
      <c r="F157" s="96">
        <f t="shared" si="58"/>
        <v>141.02394984227084</v>
      </c>
      <c r="T157" s="72"/>
      <c r="U157" s="73"/>
      <c r="V157" s="73"/>
      <c r="W157" s="72">
        <f t="shared" si="61"/>
        <v>514.67620278018762</v>
      </c>
      <c r="X157" s="72"/>
      <c r="Y157" s="72"/>
      <c r="Z157" s="72"/>
      <c r="AA157" s="72"/>
      <c r="AB157" s="72"/>
      <c r="AD157" s="74">
        <v>7.26</v>
      </c>
      <c r="AE157" s="97">
        <v>440.84340203743187</v>
      </c>
      <c r="AF157" s="97">
        <v>336.43320198296681</v>
      </c>
      <c r="AG157" s="97">
        <v>186.21014198782962</v>
      </c>
      <c r="AH157" s="96">
        <f t="shared" si="39"/>
        <v>104.41020005446507</v>
      </c>
      <c r="AS157" s="72"/>
      <c r="AT157" s="72"/>
      <c r="AU157" s="72"/>
      <c r="AV157" s="72"/>
      <c r="AW157" s="72"/>
      <c r="AX157" s="72"/>
      <c r="AY157" s="72"/>
      <c r="AZ157" s="72"/>
      <c r="BA157" s="72"/>
      <c r="BC157" s="74">
        <v>7.07</v>
      </c>
      <c r="BD157" s="93">
        <v>453.35228618810709</v>
      </c>
      <c r="BE157" s="93">
        <v>342.81937206050588</v>
      </c>
      <c r="BF157" s="93">
        <v>197.76389452332657</v>
      </c>
      <c r="BG157" s="93">
        <f t="shared" si="59"/>
        <v>110.5329141276012</v>
      </c>
      <c r="BU157" s="72"/>
      <c r="BV157" s="72"/>
      <c r="BW157" s="72"/>
      <c r="BX157" s="72">
        <f t="shared" si="50"/>
        <v>506.65498034683287</v>
      </c>
      <c r="BY157" s="72"/>
      <c r="BZ157" s="72"/>
      <c r="CA157" s="72"/>
      <c r="CB157" s="72"/>
      <c r="CD157" s="74">
        <v>7.08</v>
      </c>
      <c r="CE157" s="69">
        <v>14.496090973702914</v>
      </c>
      <c r="CF157" s="69">
        <v>7.1051226642938863</v>
      </c>
      <c r="CG157" s="69">
        <v>77.286815415821494</v>
      </c>
      <c r="CH157" s="69">
        <f t="shared" si="43"/>
        <v>7.3909683094090282</v>
      </c>
      <c r="CI157" s="76"/>
      <c r="CJ157" s="76"/>
      <c r="CK157" s="177"/>
      <c r="CL157" s="76"/>
      <c r="CM157" s="76"/>
      <c r="CN157" s="71"/>
      <c r="CO157" s="71"/>
      <c r="CP157" s="71"/>
      <c r="CQ157" s="71"/>
      <c r="CR157" s="71"/>
      <c r="CS157" s="72"/>
      <c r="CT157" s="72"/>
      <c r="CU157" s="72"/>
      <c r="CV157" s="72"/>
      <c r="CW157" s="72"/>
      <c r="CX157" s="72"/>
      <c r="CY157" s="72"/>
      <c r="CZ157" s="72"/>
      <c r="DA157" s="168"/>
      <c r="DB157" s="67">
        <v>6.8</v>
      </c>
      <c r="DC157" s="69">
        <v>8.6529258469556982</v>
      </c>
      <c r="DD157" s="69">
        <v>1.8548366594635821</v>
      </c>
      <c r="DE157" s="69">
        <v>73.022312373225148</v>
      </c>
      <c r="DF157" s="69">
        <f t="shared" si="48"/>
        <v>6.7980891874921161</v>
      </c>
      <c r="DG157" s="70"/>
      <c r="DH157" s="70"/>
      <c r="DI157" s="70"/>
      <c r="DJ157" s="177"/>
      <c r="DK157" s="70"/>
      <c r="DL157" s="70"/>
      <c r="DM157" s="70"/>
      <c r="DN157" s="71"/>
      <c r="DO157" s="71"/>
      <c r="DP157" s="71"/>
      <c r="DQ157" s="180"/>
      <c r="DR157" s="71"/>
      <c r="DS157" s="180"/>
      <c r="DT157" s="72"/>
      <c r="DU157" s="72"/>
      <c r="DV157" s="79">
        <f t="shared" si="62"/>
        <v>11.22866178940836</v>
      </c>
      <c r="DW157" s="73"/>
      <c r="DX157" s="72"/>
      <c r="DY157" s="75"/>
      <c r="DZ157" s="168"/>
      <c r="EA157" s="74">
        <v>6.74</v>
      </c>
      <c r="EB157" s="78"/>
      <c r="EC157" s="78"/>
      <c r="ED157" s="78"/>
      <c r="EE157" s="78">
        <f t="shared" si="35"/>
        <v>21.62117551577057</v>
      </c>
      <c r="EF157" s="79">
        <f t="shared" si="53"/>
        <v>1.5584987978899278</v>
      </c>
      <c r="EG157" s="66"/>
      <c r="EH157" s="66"/>
      <c r="EI157" s="66"/>
      <c r="EJ157" s="79">
        <f t="shared" si="54"/>
        <v>95.179478950138986</v>
      </c>
      <c r="EK157" s="79">
        <f t="shared" si="56"/>
        <v>97.783765634412262</v>
      </c>
      <c r="EL157" s="66"/>
      <c r="EM157" s="66"/>
      <c r="EN157" s="66"/>
      <c r="EO157" s="66"/>
      <c r="EP157" s="79">
        <f t="shared" si="55"/>
        <v>97.818305620358359</v>
      </c>
    </row>
    <row r="158" spans="1:146" x14ac:dyDescent="0.3">
      <c r="A158" s="86">
        <v>44848</v>
      </c>
      <c r="B158" s="106">
        <f t="shared" si="29"/>
        <v>149</v>
      </c>
      <c r="C158" s="96">
        <v>176.99098466221756</v>
      </c>
      <c r="D158" s="93">
        <v>48.799797005836083</v>
      </c>
      <c r="E158" s="93">
        <v>44.412074128024607</v>
      </c>
      <c r="F158" s="96">
        <f t="shared" si="58"/>
        <v>128.19118765638149</v>
      </c>
      <c r="T158" s="72"/>
      <c r="U158" s="73">
        <v>420</v>
      </c>
      <c r="V158" s="73">
        <v>616</v>
      </c>
      <c r="W158" s="72">
        <f t="shared" si="61"/>
        <v>469.13016323002915</v>
      </c>
      <c r="X158" s="72"/>
      <c r="Y158" s="72"/>
      <c r="Z158" s="72"/>
      <c r="AA158" s="72"/>
      <c r="AB158" s="72"/>
      <c r="AE158" s="97">
        <v>326.51914295749913</v>
      </c>
      <c r="AF158" s="97">
        <v>251.35752347120024</v>
      </c>
      <c r="AG158" s="97">
        <v>153.66836610827875</v>
      </c>
      <c r="AH158" s="96">
        <f t="shared" si="39"/>
        <v>75.161619486298889</v>
      </c>
      <c r="AS158" s="72"/>
      <c r="AT158" s="72"/>
      <c r="AU158" s="72"/>
      <c r="AV158" s="72"/>
      <c r="AW158" s="72"/>
      <c r="AX158" s="72"/>
      <c r="AY158" s="72"/>
      <c r="AZ158" s="72"/>
      <c r="BA158" s="72"/>
      <c r="BD158" s="93">
        <v>320.61819459079732</v>
      </c>
      <c r="BE158" s="93">
        <v>253.85435168738906</v>
      </c>
      <c r="BF158" s="93">
        <v>170.06069434328722</v>
      </c>
      <c r="BG158" s="93">
        <f t="shared" si="59"/>
        <v>66.763842903408261</v>
      </c>
      <c r="BU158" s="72"/>
      <c r="BV158" s="72">
        <f>90.4*2</f>
        <v>180.8</v>
      </c>
      <c r="BW158" s="72"/>
      <c r="BX158" s="72">
        <f t="shared" si="50"/>
        <v>365.39030297075016</v>
      </c>
      <c r="BY158" s="72"/>
      <c r="BZ158" s="72"/>
      <c r="CA158" s="72"/>
      <c r="CB158" s="72"/>
      <c r="CE158" s="69">
        <v>78.173515981735179</v>
      </c>
      <c r="CF158" s="69">
        <v>54.534382136513585</v>
      </c>
      <c r="CG158" s="69">
        <v>176.58655013352757</v>
      </c>
      <c r="CH158" s="69">
        <f t="shared" si="43"/>
        <v>23.639133845221593</v>
      </c>
      <c r="CI158" s="76"/>
      <c r="CJ158" s="76"/>
      <c r="CK158" s="177"/>
      <c r="CL158" s="76"/>
      <c r="CM158" s="76"/>
      <c r="CN158" s="71"/>
      <c r="CO158" s="71"/>
      <c r="CP158" s="71"/>
      <c r="CQ158" s="71"/>
      <c r="CR158" s="71"/>
      <c r="CS158" s="72"/>
      <c r="CT158" s="72"/>
      <c r="CU158" s="72"/>
      <c r="CV158" s="72"/>
      <c r="CW158" s="72"/>
      <c r="CX158" s="72"/>
      <c r="CY158" s="72"/>
      <c r="CZ158" s="72"/>
      <c r="DA158" s="168"/>
      <c r="DB158" s="67"/>
      <c r="DC158" s="69">
        <v>48.612574639971903</v>
      </c>
      <c r="DD158" s="69">
        <v>33.697031210352705</v>
      </c>
      <c r="DE158" s="69">
        <v>182.74338431658168</v>
      </c>
      <c r="DF158" s="69">
        <f t="shared" si="48"/>
        <v>14.915543429619198</v>
      </c>
      <c r="DG158" s="70"/>
      <c r="DH158" s="70"/>
      <c r="DI158" s="70"/>
      <c r="DJ158" s="177"/>
      <c r="DK158" s="70"/>
      <c r="DL158" s="70"/>
      <c r="DM158" s="70"/>
      <c r="DN158" s="71"/>
      <c r="DO158" s="71"/>
      <c r="DP158" s="71"/>
      <c r="DQ158" s="180"/>
      <c r="DR158" s="71"/>
      <c r="DS158" s="180"/>
      <c r="DT158" s="72"/>
      <c r="DU158" s="72">
        <v>44.1</v>
      </c>
      <c r="DV158" s="79">
        <f t="shared" si="62"/>
        <v>47.670349118589463</v>
      </c>
      <c r="DW158" s="73"/>
      <c r="DX158" s="72"/>
      <c r="DY158" s="75"/>
      <c r="DZ158" s="168"/>
      <c r="EA158" s="74"/>
      <c r="EB158" s="78"/>
      <c r="EC158" s="78"/>
      <c r="ED158" s="78"/>
      <c r="EE158" s="78">
        <f t="shared" si="35"/>
        <v>47.918539391046281</v>
      </c>
      <c r="EF158" s="79">
        <f t="shared" si="53"/>
        <v>22.113236024947753</v>
      </c>
      <c r="EG158" s="66"/>
      <c r="EH158" s="66"/>
      <c r="EI158" s="66"/>
      <c r="EJ158" s="79">
        <f t="shared" si="54"/>
        <v>88.364610935971243</v>
      </c>
      <c r="EK158" s="79">
        <f t="shared" si="56"/>
        <v>86.95358121684869</v>
      </c>
      <c r="EL158" s="66"/>
      <c r="EM158" s="66"/>
      <c r="EN158" s="66"/>
      <c r="EO158" s="66"/>
      <c r="EP158" s="79">
        <f t="shared" si="55"/>
        <v>89.83856659517005</v>
      </c>
    </row>
    <row r="159" spans="1:146" x14ac:dyDescent="0.3">
      <c r="A159" s="86">
        <v>44851</v>
      </c>
      <c r="B159" s="106">
        <f t="shared" si="29"/>
        <v>152</v>
      </c>
      <c r="C159" s="96">
        <v>110.90266320999292</v>
      </c>
      <c r="D159" s="93">
        <v>51.209586818125068</v>
      </c>
      <c r="E159" s="93">
        <v>48.628211342704795</v>
      </c>
      <c r="F159" s="96">
        <f t="shared" si="58"/>
        <v>59.693076391867855</v>
      </c>
      <c r="T159" s="72"/>
      <c r="U159" s="73"/>
      <c r="V159" s="73"/>
      <c r="W159" s="72">
        <f t="shared" si="61"/>
        <v>226.01666673001739</v>
      </c>
      <c r="X159" s="72">
        <v>61</v>
      </c>
      <c r="Y159" s="72">
        <v>75</v>
      </c>
      <c r="Z159" s="72"/>
      <c r="AA159" s="72"/>
      <c r="AB159" s="72"/>
      <c r="AD159" s="74">
        <v>7.19</v>
      </c>
      <c r="AE159" s="97"/>
      <c r="AF159" s="97"/>
      <c r="AG159" s="97"/>
      <c r="AH159" s="96"/>
      <c r="AS159" s="72"/>
      <c r="AT159" s="72"/>
      <c r="AU159" s="72"/>
      <c r="AV159" s="72"/>
      <c r="AW159" s="72"/>
      <c r="AX159" s="72"/>
      <c r="AY159" s="72"/>
      <c r="AZ159" s="72"/>
      <c r="BA159" s="72"/>
      <c r="BC159" s="74">
        <v>7.03</v>
      </c>
      <c r="BD159" s="93">
        <v>215.9604053735564</v>
      </c>
      <c r="BE159" s="93">
        <v>173.4315316439895</v>
      </c>
      <c r="BF159" s="93">
        <v>110.3829374697043</v>
      </c>
      <c r="BG159" s="93">
        <f t="shared" si="59"/>
        <v>42.528873729566897</v>
      </c>
      <c r="BU159" s="72"/>
      <c r="BV159" s="72"/>
      <c r="BW159" s="72"/>
      <c r="BX159" s="72">
        <f t="shared" si="50"/>
        <v>287.17193996217713</v>
      </c>
      <c r="BY159" s="72">
        <v>167</v>
      </c>
      <c r="BZ159" s="72"/>
      <c r="CA159" s="72"/>
      <c r="CB159" s="72"/>
      <c r="CD159" s="74">
        <v>6.89</v>
      </c>
      <c r="CE159" s="69"/>
      <c r="CF159" s="69"/>
      <c r="CG159" s="69"/>
      <c r="CH159" s="69"/>
      <c r="CI159" s="76"/>
      <c r="CJ159" s="76"/>
      <c r="CK159" s="177"/>
      <c r="CL159" s="76"/>
      <c r="CM159" s="76"/>
      <c r="CN159" s="71"/>
      <c r="CO159" s="71"/>
      <c r="CP159" s="71"/>
      <c r="CQ159" s="71"/>
      <c r="CR159" s="71"/>
      <c r="CS159" s="72"/>
      <c r="CT159" s="72"/>
      <c r="CU159" s="72"/>
      <c r="CV159" s="72"/>
      <c r="CW159" s="72"/>
      <c r="CX159" s="72"/>
      <c r="CY159" s="72"/>
      <c r="CZ159" s="72"/>
      <c r="DA159" s="168"/>
      <c r="DB159" s="67">
        <v>6.67</v>
      </c>
      <c r="DC159" s="69">
        <v>15.790714117369783</v>
      </c>
      <c r="DD159" s="69">
        <v>3.9565597303707398</v>
      </c>
      <c r="DE159" s="69">
        <v>223.17014057198253</v>
      </c>
      <c r="DF159" s="69">
        <f t="shared" si="48"/>
        <v>11.834154386999042</v>
      </c>
      <c r="DG159" s="70"/>
      <c r="DH159" s="70"/>
      <c r="DI159" s="70"/>
      <c r="DJ159" s="177"/>
      <c r="DK159" s="70"/>
      <c r="DL159" s="70"/>
      <c r="DM159" s="70"/>
      <c r="DN159" s="71"/>
      <c r="DO159" s="71"/>
      <c r="DP159" s="71"/>
      <c r="DQ159" s="180"/>
      <c r="DR159" s="71"/>
      <c r="DS159" s="180"/>
      <c r="DT159" s="72"/>
      <c r="DU159" s="72"/>
      <c r="DV159" s="79">
        <f t="shared" si="62"/>
        <v>33.837069289554805</v>
      </c>
      <c r="DW159" s="73">
        <v>248</v>
      </c>
      <c r="DX159" s="72"/>
      <c r="DY159" s="75"/>
      <c r="DZ159" s="168"/>
      <c r="EA159" s="74">
        <v>6.68</v>
      </c>
      <c r="EB159" s="78"/>
      <c r="EC159" s="78"/>
      <c r="ED159" s="78"/>
      <c r="EE159" s="78">
        <f t="shared" si="35"/>
        <v>28.754092936378267</v>
      </c>
      <c r="EF159" s="79">
        <f t="shared" si="53"/>
        <v>-27.057859987472188</v>
      </c>
      <c r="EG159" s="66"/>
      <c r="EH159" s="66"/>
      <c r="EI159" s="66"/>
      <c r="EJ159" s="79">
        <f t="shared" si="54"/>
        <v>80.174996662408176</v>
      </c>
      <c r="EK159" s="79">
        <f t="shared" si="56"/>
        <v>88.217139427337017</v>
      </c>
      <c r="EL159" s="66"/>
      <c r="EM159" s="66"/>
      <c r="EN159" s="66"/>
      <c r="EO159" s="66"/>
      <c r="EP159" s="79">
        <f t="shared" si="55"/>
        <v>85.028949511066799</v>
      </c>
    </row>
    <row r="160" spans="1:146" x14ac:dyDescent="0.3">
      <c r="A160" s="86">
        <v>44853</v>
      </c>
      <c r="B160" s="106">
        <f t="shared" si="29"/>
        <v>154</v>
      </c>
      <c r="C160" s="96">
        <v>168.33824975417895</v>
      </c>
      <c r="D160" s="93">
        <v>62.548733589709592</v>
      </c>
      <c r="E160" s="93">
        <v>54.597402597402592</v>
      </c>
      <c r="F160" s="96">
        <f t="shared" si="58"/>
        <v>105.78951616446935</v>
      </c>
      <c r="T160" s="72"/>
      <c r="U160" s="73"/>
      <c r="V160" s="73"/>
      <c r="W160" s="72">
        <f t="shared" si="61"/>
        <v>389.62215077093458</v>
      </c>
      <c r="X160" s="72"/>
      <c r="Y160" s="72"/>
      <c r="Z160" s="72"/>
      <c r="AA160" s="72"/>
      <c r="AB160" s="72"/>
      <c r="AD160" s="74">
        <v>6.88</v>
      </c>
      <c r="AE160" s="97"/>
      <c r="AF160" s="97"/>
      <c r="AG160" s="97"/>
      <c r="AH160" s="96"/>
      <c r="AS160" s="72"/>
      <c r="AT160" s="72"/>
      <c r="AU160" s="72"/>
      <c r="AV160" s="72"/>
      <c r="AW160" s="72"/>
      <c r="AX160" s="72"/>
      <c r="AY160" s="72"/>
      <c r="AZ160" s="72"/>
      <c r="BA160" s="72"/>
      <c r="BC160" s="74">
        <v>6.88</v>
      </c>
      <c r="BD160" s="93">
        <v>196.89282202556541</v>
      </c>
      <c r="BE160" s="93">
        <v>165.53772709189761</v>
      </c>
      <c r="BF160" s="93">
        <v>94.72727272727272</v>
      </c>
      <c r="BG160" s="93">
        <f t="shared" si="59"/>
        <v>31.3550949336678</v>
      </c>
      <c r="BU160" s="72"/>
      <c r="BV160" s="72"/>
      <c r="BW160" s="72"/>
      <c r="BX160" s="72">
        <f t="shared" si="50"/>
        <v>251.10856889841284</v>
      </c>
      <c r="BY160" s="72"/>
      <c r="BZ160" s="72"/>
      <c r="CA160" s="72"/>
      <c r="CB160" s="72"/>
      <c r="CD160" s="74">
        <v>6.73</v>
      </c>
      <c r="CE160" s="69"/>
      <c r="CF160" s="69"/>
      <c r="CG160" s="69"/>
      <c r="CH160" s="69"/>
      <c r="CI160" s="76"/>
      <c r="CJ160" s="76"/>
      <c r="CK160" s="177"/>
      <c r="CL160" s="76"/>
      <c r="CM160" s="76"/>
      <c r="CN160" s="71"/>
      <c r="CO160" s="71"/>
      <c r="CP160" s="71"/>
      <c r="CQ160" s="71"/>
      <c r="CR160" s="71"/>
      <c r="CS160" s="72"/>
      <c r="CT160" s="72"/>
      <c r="CU160" s="72"/>
      <c r="CV160" s="72"/>
      <c r="CW160" s="72"/>
      <c r="CX160" s="72"/>
      <c r="CY160" s="72"/>
      <c r="CZ160" s="72"/>
      <c r="DA160" s="168"/>
      <c r="DB160" s="67">
        <v>6.7</v>
      </c>
      <c r="DC160" s="69">
        <v>15.870206489675518</v>
      </c>
      <c r="DD160" s="69">
        <v>4.6667550722715827</v>
      </c>
      <c r="DE160" s="69">
        <v>187.92207792207796</v>
      </c>
      <c r="DF160" s="69">
        <f t="shared" si="48"/>
        <v>11.203451417403935</v>
      </c>
      <c r="DG160" s="70"/>
      <c r="DH160" s="70"/>
      <c r="DI160" s="70"/>
      <c r="DJ160" s="177"/>
      <c r="DK160" s="70"/>
      <c r="DL160" s="70"/>
      <c r="DM160" s="70"/>
      <c r="DN160" s="71"/>
      <c r="DO160" s="71"/>
      <c r="DP160" s="71"/>
      <c r="DQ160" s="180"/>
      <c r="DR160" s="71"/>
      <c r="DS160" s="180"/>
      <c r="DT160" s="72"/>
      <c r="DU160" s="72"/>
      <c r="DV160" s="79">
        <f t="shared" si="62"/>
        <v>31.005654448151489</v>
      </c>
      <c r="DW160" s="73"/>
      <c r="DX160" s="72"/>
      <c r="DY160" s="75"/>
      <c r="DZ160" s="168"/>
      <c r="EA160" s="74">
        <v>6.7</v>
      </c>
      <c r="EB160" s="78"/>
      <c r="EC160" s="78"/>
      <c r="ED160" s="78"/>
      <c r="EE160" s="78">
        <f t="shared" si="35"/>
        <v>70.360867437071448</v>
      </c>
      <c r="EF160" s="79">
        <f t="shared" si="53"/>
        <v>35.550746177661807</v>
      </c>
      <c r="EG160" s="66"/>
      <c r="EH160" s="66"/>
      <c r="EI160" s="66"/>
      <c r="EJ160" s="79">
        <f t="shared" si="54"/>
        <v>89.409677042112463</v>
      </c>
      <c r="EK160" s="79">
        <f t="shared" si="56"/>
        <v>87.652490480842587</v>
      </c>
      <c r="EL160" s="66"/>
      <c r="EM160" s="66"/>
      <c r="EN160" s="66"/>
      <c r="EO160" s="66"/>
      <c r="EP160" s="79">
        <f t="shared" si="55"/>
        <v>92.042122249260856</v>
      </c>
    </row>
    <row r="161" spans="1:146" x14ac:dyDescent="0.3">
      <c r="A161" s="86">
        <v>44855</v>
      </c>
      <c r="B161" s="106">
        <f t="shared" si="29"/>
        <v>156</v>
      </c>
      <c r="C161" s="96">
        <v>165.18409425625921</v>
      </c>
      <c r="D161" s="93">
        <v>52.364402317008953</v>
      </c>
      <c r="E161" s="93">
        <v>45.569290826284977</v>
      </c>
      <c r="F161" s="96">
        <f t="shared" si="58"/>
        <v>112.81969193925026</v>
      </c>
      <c r="T161" s="72"/>
      <c r="U161" s="73"/>
      <c r="V161" s="73"/>
      <c r="W161" s="72">
        <f t="shared" si="61"/>
        <v>414.57365063078703</v>
      </c>
      <c r="X161" s="72"/>
      <c r="Y161" s="72"/>
      <c r="Z161" s="72"/>
      <c r="AA161" s="72"/>
      <c r="AB161" s="72"/>
      <c r="AD161" s="74">
        <v>7</v>
      </c>
      <c r="AE161" s="97"/>
      <c r="AF161" s="97"/>
      <c r="AG161" s="97"/>
      <c r="AH161" s="96"/>
      <c r="AS161" s="72"/>
      <c r="AT161" s="72"/>
      <c r="AU161" s="72"/>
      <c r="AV161" s="72"/>
      <c r="AW161" s="72"/>
      <c r="AX161" s="72"/>
      <c r="AY161" s="72"/>
      <c r="AZ161" s="72"/>
      <c r="BA161" s="72"/>
      <c r="BC161" s="74">
        <v>6.65</v>
      </c>
      <c r="BD161" s="93">
        <v>152.06676485027</v>
      </c>
      <c r="BE161" s="93">
        <v>133.33333333333334</v>
      </c>
      <c r="BF161" s="93">
        <v>79.323357189329855</v>
      </c>
      <c r="BG161" s="93">
        <f t="shared" si="59"/>
        <v>18.733431516936662</v>
      </c>
      <c r="BU161" s="72"/>
      <c r="BV161" s="72"/>
      <c r="BW161" s="72"/>
      <c r="BX161" s="72">
        <f t="shared" si="50"/>
        <v>210.37215022091306</v>
      </c>
      <c r="BY161" s="72"/>
      <c r="BZ161" s="72"/>
      <c r="CA161" s="72"/>
      <c r="CB161" s="72"/>
      <c r="CD161" s="74">
        <v>6.66</v>
      </c>
      <c r="CE161" s="69"/>
      <c r="CF161" s="69"/>
      <c r="CG161" s="69"/>
      <c r="CH161" s="69"/>
      <c r="CI161" s="76"/>
      <c r="CJ161" s="76"/>
      <c r="CK161" s="177"/>
      <c r="CL161" s="76"/>
      <c r="CM161" s="76"/>
      <c r="CN161" s="71"/>
      <c r="CO161" s="71"/>
      <c r="CP161" s="71"/>
      <c r="CQ161" s="71"/>
      <c r="CR161" s="71"/>
      <c r="CS161" s="72"/>
      <c r="CT161" s="72"/>
      <c r="CU161" s="72"/>
      <c r="CV161" s="72"/>
      <c r="CW161" s="72"/>
      <c r="CX161" s="72"/>
      <c r="CY161" s="72"/>
      <c r="CZ161" s="72"/>
      <c r="DA161" s="168"/>
      <c r="DB161" s="67">
        <v>6.62</v>
      </c>
      <c r="DC161" s="69">
        <v>13.824251350024547</v>
      </c>
      <c r="DD161" s="69">
        <v>3.4512901527119544</v>
      </c>
      <c r="DE161" s="69">
        <v>154.68445022771633</v>
      </c>
      <c r="DF161" s="69">
        <f t="shared" si="48"/>
        <v>10.372961197312591</v>
      </c>
      <c r="DG161" s="70"/>
      <c r="DH161" s="70"/>
      <c r="DI161" s="70"/>
      <c r="DJ161" s="177"/>
      <c r="DK161" s="70"/>
      <c r="DL161" s="70"/>
      <c r="DM161" s="70"/>
      <c r="DN161" s="71"/>
      <c r="DO161" s="71"/>
      <c r="DP161" s="71"/>
      <c r="DQ161" s="180"/>
      <c r="DR161" s="71"/>
      <c r="DS161" s="180"/>
      <c r="DT161" s="72"/>
      <c r="DU161" s="72"/>
      <c r="DV161" s="79">
        <f t="shared" si="62"/>
        <v>27.27733470309542</v>
      </c>
      <c r="DW161" s="73"/>
      <c r="DX161" s="72"/>
      <c r="DY161" s="75"/>
      <c r="DZ161" s="168"/>
      <c r="EA161" s="74">
        <v>6.64</v>
      </c>
      <c r="EB161" s="78"/>
      <c r="EC161" s="78"/>
      <c r="ED161" s="78"/>
      <c r="EE161" s="78">
        <f t="shared" si="35"/>
        <v>83.39524670300996</v>
      </c>
      <c r="EF161" s="79">
        <f t="shared" si="53"/>
        <v>49.255783646446147</v>
      </c>
      <c r="EG161" s="66"/>
      <c r="EH161" s="66"/>
      <c r="EI161" s="66"/>
      <c r="EJ161" s="79">
        <f t="shared" si="54"/>
        <v>90.805717495755886</v>
      </c>
      <c r="EK161" s="79">
        <f t="shared" si="56"/>
        <v>87.033771022233068</v>
      </c>
      <c r="EL161" s="66"/>
      <c r="EM161" s="66"/>
      <c r="EN161" s="66"/>
      <c r="EO161" s="66"/>
      <c r="EP161" s="79">
        <f t="shared" si="55"/>
        <v>93.42038871462475</v>
      </c>
    </row>
    <row r="162" spans="1:146" x14ac:dyDescent="0.3">
      <c r="A162" s="86">
        <v>44858</v>
      </c>
      <c r="B162" s="106">
        <f t="shared" ref="B162:B191" si="63">A162-A161+B161</f>
        <v>159</v>
      </c>
      <c r="C162" s="96">
        <v>281.51202749140896</v>
      </c>
      <c r="D162" s="93">
        <v>61.716692996313853</v>
      </c>
      <c r="E162" s="93">
        <v>62.667534157449566</v>
      </c>
      <c r="F162" s="96">
        <f t="shared" si="58"/>
        <v>219.79533449509512</v>
      </c>
      <c r="T162" s="72"/>
      <c r="U162" s="73"/>
      <c r="V162" s="73"/>
      <c r="W162" s="72">
        <f t="shared" si="61"/>
        <v>794.25160118999156</v>
      </c>
      <c r="X162" s="72"/>
      <c r="Y162" s="72"/>
      <c r="Z162" s="72"/>
      <c r="AA162" s="72"/>
      <c r="AB162" s="72"/>
      <c r="AD162" s="74">
        <v>7.25</v>
      </c>
      <c r="AE162" s="97"/>
      <c r="AF162" s="97"/>
      <c r="AG162" s="97"/>
      <c r="AH162" s="96"/>
      <c r="AS162" s="72"/>
      <c r="AT162" s="72"/>
      <c r="AU162" s="72"/>
      <c r="AV162" s="72"/>
      <c r="AW162" s="72"/>
      <c r="AX162" s="72"/>
      <c r="AY162" s="72"/>
      <c r="AZ162" s="72"/>
      <c r="BA162" s="72"/>
      <c r="BC162" s="74">
        <v>6.74</v>
      </c>
      <c r="BD162" s="93">
        <v>148.53215513009326</v>
      </c>
      <c r="BE162" s="93">
        <v>127.2248551869405</v>
      </c>
      <c r="BF162" s="93">
        <v>73.832140533506831</v>
      </c>
      <c r="BG162" s="93">
        <f t="shared" si="59"/>
        <v>21.307299943152756</v>
      </c>
      <c r="BU162" s="72"/>
      <c r="BV162" s="72"/>
      <c r="BW162" s="72"/>
      <c r="BX162" s="72">
        <f t="shared" si="50"/>
        <v>218.67931056652552</v>
      </c>
      <c r="BY162" s="72"/>
      <c r="BZ162" s="72"/>
      <c r="CA162" s="72"/>
      <c r="CB162" s="72"/>
      <c r="CD162" s="74">
        <v>6.69</v>
      </c>
      <c r="CE162" s="69"/>
      <c r="CF162" s="69"/>
      <c r="CG162" s="69"/>
      <c r="CH162" s="69"/>
      <c r="CI162" s="76"/>
      <c r="CJ162" s="76"/>
      <c r="CK162" s="177"/>
      <c r="CL162" s="76"/>
      <c r="CM162" s="76"/>
      <c r="CN162" s="71"/>
      <c r="CO162" s="71"/>
      <c r="CP162" s="71"/>
      <c r="CQ162" s="71"/>
      <c r="CR162" s="71"/>
      <c r="CS162" s="72"/>
      <c r="CT162" s="72"/>
      <c r="CU162" s="72"/>
      <c r="CV162" s="72"/>
      <c r="CW162" s="72"/>
      <c r="CX162" s="72"/>
      <c r="CY162" s="72"/>
      <c r="CZ162" s="72"/>
      <c r="DA162" s="168"/>
      <c r="DB162" s="67">
        <v>6.64</v>
      </c>
      <c r="DC162" s="69">
        <v>12.076583210603829</v>
      </c>
      <c r="DD162" s="69">
        <v>2.8604528699315437</v>
      </c>
      <c r="DE162" s="69">
        <v>120.62459336369548</v>
      </c>
      <c r="DF162" s="69">
        <f t="shared" si="48"/>
        <v>9.2161303406722848</v>
      </c>
      <c r="DG162" s="70"/>
      <c r="DH162" s="70"/>
      <c r="DI162" s="70"/>
      <c r="DJ162" s="177"/>
      <c r="DK162" s="70"/>
      <c r="DL162" s="70"/>
      <c r="DM162" s="70"/>
      <c r="DN162" s="71"/>
      <c r="DO162" s="71"/>
      <c r="DP162" s="71"/>
      <c r="DQ162" s="180"/>
      <c r="DR162" s="71"/>
      <c r="DS162" s="180"/>
      <c r="DT162" s="72"/>
      <c r="DU162" s="72"/>
      <c r="DV162" s="79">
        <f t="shared" si="62"/>
        <v>22.08397393838009</v>
      </c>
      <c r="DW162" s="73"/>
      <c r="DX162" s="72"/>
      <c r="DY162" s="75"/>
      <c r="DZ162" s="168"/>
      <c r="EA162" s="74">
        <v>6.62</v>
      </c>
      <c r="EB162" s="78"/>
      <c r="EC162" s="78"/>
      <c r="ED162" s="78"/>
      <c r="EE162" s="78">
        <f t="shared" ref="EE162:EE170" si="64">(F162-BG162)/F162*100</f>
        <v>90.305845211819886</v>
      </c>
      <c r="EF162" s="79">
        <f t="shared" si="53"/>
        <v>72.46724964244477</v>
      </c>
      <c r="EG162" s="66"/>
      <c r="EH162" s="66"/>
      <c r="EI162" s="66"/>
      <c r="EJ162" s="79">
        <f t="shared" si="54"/>
        <v>95.806949059294993</v>
      </c>
      <c r="EK162" s="79">
        <f t="shared" si="56"/>
        <v>89.901205614208379</v>
      </c>
      <c r="EL162" s="66"/>
      <c r="EM162" s="66"/>
      <c r="EN162" s="66"/>
      <c r="EO162" s="66"/>
      <c r="EP162" s="79">
        <f t="shared" si="55"/>
        <v>97.219524152637192</v>
      </c>
    </row>
    <row r="163" spans="1:146" x14ac:dyDescent="0.3">
      <c r="A163" s="86">
        <v>44869</v>
      </c>
      <c r="B163" s="106">
        <f t="shared" si="63"/>
        <v>170</v>
      </c>
      <c r="C163" s="96">
        <v>207.57390666992427</v>
      </c>
      <c r="D163" s="93">
        <v>52.504894922333904</v>
      </c>
      <c r="E163" s="93">
        <v>51.444278646037851</v>
      </c>
      <c r="F163" s="96">
        <f t="shared" si="58"/>
        <v>155.06901174759037</v>
      </c>
      <c r="T163" s="72"/>
      <c r="U163" s="73"/>
      <c r="V163" s="73"/>
      <c r="W163" s="72">
        <f t="shared" si="61"/>
        <v>564.52493649454766</v>
      </c>
      <c r="X163" s="72"/>
      <c r="Y163" s="72"/>
      <c r="Z163" s="72"/>
      <c r="AA163" s="72"/>
      <c r="AB163" s="72"/>
      <c r="AD163" s="74">
        <v>7.34</v>
      </c>
      <c r="AE163" s="97"/>
      <c r="AF163" s="97"/>
      <c r="AG163" s="97"/>
      <c r="AH163" s="96"/>
      <c r="AS163" s="72"/>
      <c r="AT163" s="72"/>
      <c r="AU163" s="72"/>
      <c r="AV163" s="72"/>
      <c r="AW163" s="72"/>
      <c r="AX163" s="72"/>
      <c r="AY163" s="72"/>
      <c r="AZ163" s="72"/>
      <c r="BA163" s="72"/>
      <c r="BC163" s="74">
        <v>6.74</v>
      </c>
      <c r="BD163" s="93">
        <v>132.20620571707792</v>
      </c>
      <c r="BE163" s="93">
        <v>118.4597311055998</v>
      </c>
      <c r="BF163" s="93">
        <v>66.196497290504979</v>
      </c>
      <c r="BG163" s="93">
        <f t="shared" si="59"/>
        <v>13.746474611478121</v>
      </c>
      <c r="BU163" s="72"/>
      <c r="BV163" s="72"/>
      <c r="BW163" s="72"/>
      <c r="BX163" s="72">
        <f t="shared" si="50"/>
        <v>194.27674680854562</v>
      </c>
      <c r="BY163" s="72"/>
      <c r="BZ163" s="72"/>
      <c r="CA163" s="72"/>
      <c r="CB163" s="72"/>
      <c r="CD163" s="74">
        <v>6.65</v>
      </c>
      <c r="CE163" s="69"/>
      <c r="CF163" s="69"/>
      <c r="CG163" s="69"/>
      <c r="CH163" s="69"/>
      <c r="CI163" s="76"/>
      <c r="CJ163" s="76"/>
      <c r="CK163" s="177"/>
      <c r="CL163" s="76"/>
      <c r="CM163" s="76"/>
      <c r="CN163" s="71"/>
      <c r="CO163" s="71"/>
      <c r="CP163" s="71"/>
      <c r="CQ163" s="71"/>
      <c r="CR163" s="71"/>
      <c r="CS163" s="72"/>
      <c r="CT163" s="72"/>
      <c r="CU163" s="72"/>
      <c r="CV163" s="72"/>
      <c r="CW163" s="72"/>
      <c r="CX163" s="72"/>
      <c r="CY163" s="72"/>
      <c r="CZ163" s="72"/>
      <c r="DA163" s="168"/>
      <c r="DB163" s="67">
        <v>7.14</v>
      </c>
      <c r="DC163" s="69">
        <v>14.190080625458098</v>
      </c>
      <c r="DD163" s="69">
        <v>6.1673410781882252</v>
      </c>
      <c r="DE163" s="69">
        <v>87.74051676745465</v>
      </c>
      <c r="DF163" s="69">
        <f t="shared" ref="DF163:DF192" si="65">DC163-DD163</f>
        <v>8.0227395472698717</v>
      </c>
      <c r="DG163" s="70"/>
      <c r="DH163" s="70"/>
      <c r="DI163" s="70"/>
      <c r="DJ163" s="177"/>
      <c r="DK163" s="70"/>
      <c r="DL163" s="70"/>
      <c r="DM163" s="70"/>
      <c r="DN163" s="71"/>
      <c r="DO163" s="71"/>
      <c r="DP163" s="71"/>
      <c r="DQ163" s="180"/>
      <c r="DR163" s="71"/>
      <c r="DS163" s="180"/>
      <c r="DT163" s="72"/>
      <c r="DU163" s="72">
        <v>18.25</v>
      </c>
      <c r="DV163" s="79">
        <f t="shared" si="62"/>
        <v>16.726484649558635</v>
      </c>
      <c r="DW163" s="73"/>
      <c r="DX163" s="72"/>
      <c r="DY163" s="75"/>
      <c r="DZ163" s="168"/>
      <c r="EA163" s="74">
        <v>7.08</v>
      </c>
      <c r="EB163" s="78"/>
      <c r="EC163" s="78"/>
      <c r="ED163" s="78"/>
      <c r="EE163" s="78">
        <f t="shared" si="64"/>
        <v>91.135253616077989</v>
      </c>
      <c r="EF163" s="79">
        <f t="shared" si="53"/>
        <v>65.585798917064835</v>
      </c>
      <c r="EG163" s="66"/>
      <c r="EH163" s="66"/>
      <c r="EI163" s="66"/>
      <c r="EJ163" s="79">
        <f t="shared" si="54"/>
        <v>94.826342505923293</v>
      </c>
      <c r="EK163" s="79">
        <f t="shared" si="56"/>
        <v>91.390382573143398</v>
      </c>
      <c r="EL163" s="66"/>
      <c r="EM163" s="66"/>
      <c r="EN163" s="66"/>
      <c r="EO163" s="66"/>
      <c r="EP163" s="79">
        <f t="shared" si="55"/>
        <v>97.037068946250145</v>
      </c>
    </row>
    <row r="164" spans="1:146" x14ac:dyDescent="0.3">
      <c r="A164" s="86">
        <v>44873</v>
      </c>
      <c r="B164" s="106">
        <f t="shared" si="63"/>
        <v>174</v>
      </c>
      <c r="C164" s="96">
        <v>199.44295138040559</v>
      </c>
      <c r="D164" s="93">
        <v>54.55162511421485</v>
      </c>
      <c r="E164" s="93">
        <v>56.294667399670146</v>
      </c>
      <c r="F164" s="96">
        <f t="shared" si="58"/>
        <v>144.89132626619073</v>
      </c>
      <c r="T164" s="72"/>
      <c r="U164" s="73">
        <v>410</v>
      </c>
      <c r="V164" s="73">
        <v>677</v>
      </c>
      <c r="W164" s="72">
        <f t="shared" si="61"/>
        <v>528.40229518396416</v>
      </c>
      <c r="X164" s="72"/>
      <c r="Y164" s="72"/>
      <c r="Z164" s="72"/>
      <c r="AA164" s="72"/>
      <c r="AB164" s="72"/>
      <c r="AD164" s="74">
        <v>7.08</v>
      </c>
      <c r="AE164" s="97"/>
      <c r="AF164" s="97"/>
      <c r="AG164" s="97"/>
      <c r="AH164" s="96"/>
      <c r="AS164" s="72"/>
      <c r="AT164" s="72"/>
      <c r="AU164" s="72"/>
      <c r="AV164" s="72"/>
      <c r="AW164" s="72"/>
      <c r="AX164" s="72"/>
      <c r="AY164" s="72"/>
      <c r="AZ164" s="72"/>
      <c r="BA164" s="72"/>
      <c r="BC164" s="74">
        <v>6.98</v>
      </c>
      <c r="BD164" s="93">
        <v>121.80796481798193</v>
      </c>
      <c r="BE164" s="93">
        <v>105.21863986424749</v>
      </c>
      <c r="BF164" s="93">
        <v>66.724259797376902</v>
      </c>
      <c r="BG164" s="93">
        <f t="shared" si="59"/>
        <v>16.589324953734433</v>
      </c>
      <c r="BU164" s="72"/>
      <c r="BV164" s="72">
        <v>56.466666666666661</v>
      </c>
      <c r="BW164" s="72">
        <v>89.55</v>
      </c>
      <c r="BX164" s="72">
        <f t="shared" si="50"/>
        <v>203.45204628817788</v>
      </c>
      <c r="BY164" s="72"/>
      <c r="BZ164" s="72"/>
      <c r="CA164" s="72"/>
      <c r="CB164" s="72"/>
      <c r="CD164" s="74">
        <v>6.81</v>
      </c>
      <c r="CE164" s="69"/>
      <c r="CF164" s="69"/>
      <c r="CG164" s="69"/>
      <c r="CH164" s="69"/>
      <c r="CI164" s="76"/>
      <c r="CJ164" s="76"/>
      <c r="CK164" s="177"/>
      <c r="CL164" s="76"/>
      <c r="CM164" s="76"/>
      <c r="CN164" s="71"/>
      <c r="CO164" s="71"/>
      <c r="CP164" s="71"/>
      <c r="CQ164" s="71"/>
      <c r="CR164" s="71"/>
      <c r="CS164" s="72"/>
      <c r="CT164" s="72"/>
      <c r="CU164" s="72"/>
      <c r="CV164" s="72"/>
      <c r="CW164" s="72"/>
      <c r="CX164" s="72"/>
      <c r="CY164" s="72"/>
      <c r="CZ164" s="72"/>
      <c r="DA164" s="168"/>
      <c r="DB164" s="67">
        <v>7.04</v>
      </c>
      <c r="DC164" s="69">
        <v>14.629855851453703</v>
      </c>
      <c r="DD164" s="69">
        <v>7.5843884610364176</v>
      </c>
      <c r="DE164" s="69">
        <v>80.829341082227288</v>
      </c>
      <c r="DF164" s="69">
        <f t="shared" si="65"/>
        <v>7.0454673904172855</v>
      </c>
      <c r="DG164" s="70"/>
      <c r="DH164" s="70"/>
      <c r="DI164" s="70"/>
      <c r="DJ164" s="177"/>
      <c r="DK164" s="70"/>
      <c r="DL164" s="70"/>
      <c r="DM164" s="70"/>
      <c r="DN164" s="71"/>
      <c r="DO164" s="71"/>
      <c r="DP164" s="71"/>
      <c r="DQ164" s="180"/>
      <c r="DR164" s="71"/>
      <c r="DS164" s="180"/>
      <c r="DT164" s="72"/>
      <c r="DU164" s="72"/>
      <c r="DV164" s="79">
        <f t="shared" si="62"/>
        <v>12.339216755800322</v>
      </c>
      <c r="DW164" s="73"/>
      <c r="DX164" s="72"/>
      <c r="DY164" s="75"/>
      <c r="DZ164" s="168"/>
      <c r="EA164" s="74">
        <v>7.16</v>
      </c>
      <c r="EB164" s="78"/>
      <c r="EC164" s="78"/>
      <c r="ED164" s="78"/>
      <c r="EE164" s="78">
        <f t="shared" si="64"/>
        <v>88.550505139792193</v>
      </c>
      <c r="EF164" s="79">
        <f t="shared" si="53"/>
        <v>61.496751974299102</v>
      </c>
      <c r="EG164" s="66"/>
      <c r="EH164" s="66"/>
      <c r="EI164" s="66"/>
      <c r="EJ164" s="79">
        <f t="shared" si="54"/>
        <v>95.137412589161116</v>
      </c>
      <c r="EK164" s="79">
        <f t="shared" si="56"/>
        <v>93.935073654495199</v>
      </c>
      <c r="EL164" s="66"/>
      <c r="EM164" s="66"/>
      <c r="EN164" s="66"/>
      <c r="EO164" s="66"/>
      <c r="EP164" s="79">
        <f t="shared" si="55"/>
        <v>97.664806366614215</v>
      </c>
    </row>
    <row r="165" spans="1:146" x14ac:dyDescent="0.3">
      <c r="A165" s="86">
        <v>44876</v>
      </c>
      <c r="B165" s="106">
        <f t="shared" si="63"/>
        <v>177</v>
      </c>
      <c r="C165" s="96">
        <v>270.78460769615191</v>
      </c>
      <c r="D165" s="93">
        <v>63.746031746031747</v>
      </c>
      <c r="E165" s="93">
        <v>62.817551963048501</v>
      </c>
      <c r="F165" s="96">
        <f t="shared" si="58"/>
        <v>207.03857595012016</v>
      </c>
      <c r="T165" s="72"/>
      <c r="U165" s="73"/>
      <c r="V165" s="73"/>
      <c r="W165" s="72">
        <f t="shared" si="61"/>
        <v>748.97531376216648</v>
      </c>
      <c r="X165" s="72"/>
      <c r="Y165" s="72"/>
      <c r="Z165" s="72"/>
      <c r="AA165" s="72"/>
      <c r="AB165" s="72"/>
      <c r="AD165" s="74">
        <v>7.32</v>
      </c>
      <c r="AE165" s="97"/>
      <c r="AF165" s="97"/>
      <c r="AG165" s="97"/>
      <c r="AH165" s="96"/>
      <c r="AS165" s="72"/>
      <c r="AT165" s="72"/>
      <c r="AU165" s="72"/>
      <c r="AV165" s="72"/>
      <c r="AW165" s="72"/>
      <c r="AX165" s="72"/>
      <c r="AY165" s="72"/>
      <c r="AZ165" s="72"/>
      <c r="BA165" s="72"/>
      <c r="BC165" s="74">
        <v>6.74</v>
      </c>
      <c r="BD165" s="93">
        <v>153.12343828085955</v>
      </c>
      <c r="BE165" s="93">
        <v>128.97354497354499</v>
      </c>
      <c r="BF165" s="93">
        <v>70.895914629290431</v>
      </c>
      <c r="BG165" s="93">
        <f t="shared" si="59"/>
        <v>24.149893307314557</v>
      </c>
      <c r="BU165" s="72"/>
      <c r="BV165" s="72"/>
      <c r="BW165" s="72"/>
      <c r="BX165" s="72">
        <f t="shared" si="50"/>
        <v>227.85378064935773</v>
      </c>
      <c r="BY165" s="72"/>
      <c r="BZ165" s="72"/>
      <c r="CA165" s="72"/>
      <c r="CB165" s="72"/>
      <c r="CD165" s="74">
        <v>6.88</v>
      </c>
      <c r="CE165" s="69"/>
      <c r="CF165" s="69"/>
      <c r="CG165" s="69"/>
      <c r="CH165" s="69"/>
      <c r="CI165" s="76"/>
      <c r="CJ165" s="76"/>
      <c r="CK165" s="177"/>
      <c r="CL165" s="76"/>
      <c r="CM165" s="76"/>
      <c r="CN165" s="71"/>
      <c r="CO165" s="71"/>
      <c r="CP165" s="71"/>
      <c r="CQ165" s="71"/>
      <c r="CR165" s="71"/>
      <c r="CS165" s="72"/>
      <c r="CT165" s="72"/>
      <c r="CU165" s="72"/>
      <c r="CV165" s="72"/>
      <c r="CW165" s="72"/>
      <c r="CX165" s="72"/>
      <c r="CY165" s="72"/>
      <c r="CZ165" s="72"/>
      <c r="DA165" s="168"/>
      <c r="DB165" s="67">
        <v>7.43</v>
      </c>
      <c r="DC165" s="69">
        <v>20.63968015992004</v>
      </c>
      <c r="DD165" s="69">
        <v>12.708994708994709</v>
      </c>
      <c r="DE165" s="69">
        <v>83.873536672772147</v>
      </c>
      <c r="DF165" s="69">
        <f t="shared" si="65"/>
        <v>7.9306854509253313</v>
      </c>
      <c r="DG165" s="70"/>
      <c r="DH165" s="70"/>
      <c r="DI165" s="70"/>
      <c r="DJ165" s="177"/>
      <c r="DK165" s="70"/>
      <c r="DL165" s="70"/>
      <c r="DM165" s="70"/>
      <c r="DN165" s="71"/>
      <c r="DO165" s="71"/>
      <c r="DP165" s="71"/>
      <c r="DQ165" s="180"/>
      <c r="DR165" s="71"/>
      <c r="DS165" s="180"/>
      <c r="DT165" s="72"/>
      <c r="DU165" s="72">
        <v>18.8</v>
      </c>
      <c r="DV165" s="79">
        <f t="shared" si="62"/>
        <v>16.313226194839089</v>
      </c>
      <c r="DW165" s="73"/>
      <c r="DX165" s="72"/>
      <c r="DY165" s="75"/>
      <c r="DZ165" s="168"/>
      <c r="EA165" s="74">
        <v>7.27</v>
      </c>
      <c r="EB165" s="78"/>
      <c r="EC165" s="78"/>
      <c r="ED165" s="78"/>
      <c r="EE165" s="78">
        <f t="shared" si="64"/>
        <v>88.335558628874665</v>
      </c>
      <c r="EF165" s="79">
        <f t="shared" si="53"/>
        <v>69.577931813956738</v>
      </c>
      <c r="EG165" s="66"/>
      <c r="EH165" s="66"/>
      <c r="EI165" s="66"/>
      <c r="EJ165" s="79">
        <f t="shared" si="54"/>
        <v>96.169464837878337</v>
      </c>
      <c r="EK165" s="79">
        <f t="shared" si="56"/>
        <v>92.840484740543602</v>
      </c>
      <c r="EL165" s="66"/>
      <c r="EM165" s="66"/>
      <c r="EN165" s="66"/>
      <c r="EO165" s="66"/>
      <c r="EP165" s="79">
        <f t="shared" si="55"/>
        <v>97.821927385978</v>
      </c>
    </row>
    <row r="166" spans="1:146" x14ac:dyDescent="0.3">
      <c r="A166" s="86">
        <v>44880</v>
      </c>
      <c r="B166" s="106">
        <f t="shared" si="63"/>
        <v>181</v>
      </c>
      <c r="C166" s="96">
        <v>178.99231426131513</v>
      </c>
      <c r="D166" s="93">
        <v>47.868424487664797</v>
      </c>
      <c r="E166" s="93">
        <v>61.496733647564696</v>
      </c>
      <c r="F166" s="96">
        <f t="shared" si="58"/>
        <v>131.12388977365032</v>
      </c>
      <c r="T166" s="72"/>
      <c r="U166" s="73">
        <v>399</v>
      </c>
      <c r="V166" s="73">
        <v>694</v>
      </c>
      <c r="W166" s="72">
        <f t="shared" si="61"/>
        <v>479.53890958463973</v>
      </c>
      <c r="X166" s="72"/>
      <c r="Y166" s="72"/>
      <c r="Z166" s="72"/>
      <c r="AA166" s="72"/>
      <c r="AB166" s="72"/>
      <c r="AD166" s="74">
        <v>7.08</v>
      </c>
      <c r="AE166" s="97"/>
      <c r="AF166" s="97"/>
      <c r="AG166" s="97"/>
      <c r="AH166" s="96"/>
      <c r="AS166" s="72"/>
      <c r="AT166" s="72"/>
      <c r="AU166" s="72"/>
      <c r="AV166" s="72"/>
      <c r="AW166" s="72"/>
      <c r="AX166" s="72"/>
      <c r="AY166" s="72"/>
      <c r="AZ166" s="72"/>
      <c r="BA166" s="72"/>
      <c r="BC166" s="74">
        <v>6.51</v>
      </c>
      <c r="BD166" s="93">
        <v>116.72563132853483</v>
      </c>
      <c r="BE166" s="93">
        <v>79.613627463777576</v>
      </c>
      <c r="BF166" s="93">
        <v>49.086248242785082</v>
      </c>
      <c r="BG166" s="93">
        <f t="shared" si="59"/>
        <v>37.112003864757256</v>
      </c>
      <c r="BU166" s="72"/>
      <c r="BV166" s="72">
        <v>97.7</v>
      </c>
      <c r="BW166" s="72">
        <v>270</v>
      </c>
      <c r="BX166" s="72">
        <f t="shared" si="50"/>
        <v>269.68899247350407</v>
      </c>
      <c r="BY166" s="72"/>
      <c r="BZ166" s="72"/>
      <c r="CA166" s="72"/>
      <c r="CB166" s="72"/>
      <c r="CD166" s="74">
        <v>6.71</v>
      </c>
      <c r="CE166" s="69"/>
      <c r="CF166" s="69"/>
      <c r="CG166" s="69"/>
      <c r="CH166" s="69"/>
      <c r="CI166" s="76"/>
      <c r="CJ166" s="76"/>
      <c r="CK166" s="177"/>
      <c r="CL166" s="76"/>
      <c r="CM166" s="76"/>
      <c r="CN166" s="71"/>
      <c r="CO166" s="71"/>
      <c r="CP166" s="71"/>
      <c r="CQ166" s="71"/>
      <c r="CR166" s="71"/>
      <c r="CS166" s="72"/>
      <c r="CT166" s="72"/>
      <c r="CU166" s="72"/>
      <c r="CV166" s="72"/>
      <c r="CW166" s="72"/>
      <c r="CX166" s="72"/>
      <c r="CY166" s="72"/>
      <c r="CZ166" s="72"/>
      <c r="DA166" s="168"/>
      <c r="DB166" s="67">
        <v>7.11</v>
      </c>
      <c r="DC166" s="69">
        <v>33.622056850067096</v>
      </c>
      <c r="DD166" s="69">
        <v>26.095809946482181</v>
      </c>
      <c r="DE166" s="69">
        <v>52.460100884809393</v>
      </c>
      <c r="DF166" s="69">
        <f t="shared" si="65"/>
        <v>7.5262469035849158</v>
      </c>
      <c r="DG166" s="70"/>
      <c r="DH166" s="70"/>
      <c r="DI166" s="70"/>
      <c r="DJ166" s="177"/>
      <c r="DK166" s="70"/>
      <c r="DL166" s="70"/>
      <c r="DM166" s="70"/>
      <c r="DN166" s="71"/>
      <c r="DO166" s="71"/>
      <c r="DP166" s="71"/>
      <c r="DQ166" s="180"/>
      <c r="DR166" s="71"/>
      <c r="DS166" s="180"/>
      <c r="DT166" s="72"/>
      <c r="DU166" s="72"/>
      <c r="DV166" s="79">
        <f t="shared" si="62"/>
        <v>14.497580224263764</v>
      </c>
      <c r="DW166" s="73"/>
      <c r="DX166" s="72"/>
      <c r="DY166" s="75"/>
      <c r="DZ166" s="168"/>
      <c r="EA166" s="74">
        <v>7.4</v>
      </c>
      <c r="EB166" s="78"/>
      <c r="EC166" s="78"/>
      <c r="ED166" s="78"/>
      <c r="EE166" s="78">
        <f t="shared" si="64"/>
        <v>71.69699287534786</v>
      </c>
      <c r="EF166" s="79">
        <f t="shared" si="53"/>
        <v>43.760769546917579</v>
      </c>
      <c r="EG166" s="66"/>
      <c r="EH166" s="66"/>
      <c r="EI166" s="66"/>
      <c r="EJ166" s="79">
        <f t="shared" si="54"/>
        <v>94.260201618044633</v>
      </c>
      <c r="EK166" s="79">
        <f t="shared" si="56"/>
        <v>94.62433372185626</v>
      </c>
      <c r="EL166" s="66"/>
      <c r="EM166" s="66"/>
      <c r="EN166" s="66"/>
      <c r="EO166" s="66"/>
      <c r="EP166" s="79">
        <f t="shared" si="55"/>
        <v>96.976766653446106</v>
      </c>
    </row>
    <row r="167" spans="1:146" x14ac:dyDescent="0.3">
      <c r="A167" s="86">
        <v>44883</v>
      </c>
      <c r="B167" s="106">
        <f t="shared" si="63"/>
        <v>184</v>
      </c>
      <c r="C167" s="96">
        <v>192.49176728869372</v>
      </c>
      <c r="D167" s="93">
        <v>53.131444981072967</v>
      </c>
      <c r="E167" s="93">
        <v>58.753659556670847</v>
      </c>
      <c r="F167" s="96">
        <f t="shared" si="58"/>
        <v>139.36032230762075</v>
      </c>
      <c r="T167" s="72"/>
      <c r="U167" s="73"/>
      <c r="V167" s="73"/>
      <c r="W167" s="72">
        <f t="shared" si="61"/>
        <v>508.77165593420756</v>
      </c>
      <c r="X167" s="72"/>
      <c r="Y167" s="72"/>
      <c r="Z167" s="72"/>
      <c r="AA167" s="72"/>
      <c r="AB167" s="72"/>
      <c r="AE167" s="97"/>
      <c r="AF167" s="97"/>
      <c r="AG167" s="97"/>
      <c r="AH167" s="96"/>
      <c r="AS167" s="72"/>
      <c r="AT167" s="72"/>
      <c r="AU167" s="72"/>
      <c r="AV167" s="72"/>
      <c r="AW167" s="72"/>
      <c r="AX167" s="72"/>
      <c r="AY167" s="72"/>
      <c r="AZ167" s="72"/>
      <c r="BA167" s="72"/>
      <c r="BD167" s="93">
        <v>143.90047566776434</v>
      </c>
      <c r="BE167" s="93">
        <v>132.03498237827961</v>
      </c>
      <c r="BF167" s="93">
        <v>66.917607695524893</v>
      </c>
      <c r="BG167" s="93">
        <f t="shared" si="59"/>
        <v>11.865493289484732</v>
      </c>
      <c r="BU167" s="72"/>
      <c r="BV167" s="72"/>
      <c r="BW167" s="72"/>
      <c r="BX167" s="72">
        <f t="shared" si="50"/>
        <v>188.20587959181196</v>
      </c>
      <c r="BY167" s="72"/>
      <c r="BZ167" s="72"/>
      <c r="CA167" s="72"/>
      <c r="CB167" s="72"/>
      <c r="CE167" s="69"/>
      <c r="CF167" s="69"/>
      <c r="CG167" s="69"/>
      <c r="CH167" s="69"/>
      <c r="CI167" s="76"/>
      <c r="CJ167" s="76"/>
      <c r="CK167" s="177"/>
      <c r="CL167" s="76"/>
      <c r="CM167" s="76"/>
      <c r="CN167" s="71"/>
      <c r="CO167" s="71"/>
      <c r="CP167" s="71"/>
      <c r="CQ167" s="71"/>
      <c r="CR167" s="71"/>
      <c r="CS167" s="72"/>
      <c r="CT167" s="72"/>
      <c r="CU167" s="72"/>
      <c r="CV167" s="72"/>
      <c r="CW167" s="72"/>
      <c r="CX167" s="72"/>
      <c r="CY167" s="72"/>
      <c r="CZ167" s="72"/>
      <c r="DA167" s="168"/>
      <c r="DB167" s="67"/>
      <c r="DC167" s="69">
        <v>26.627637516770331</v>
      </c>
      <c r="DD167" s="69">
        <v>17.616499151546797</v>
      </c>
      <c r="DE167" s="69">
        <v>96.562107904642417</v>
      </c>
      <c r="DF167" s="69">
        <f t="shared" si="65"/>
        <v>9.011138365223534</v>
      </c>
      <c r="DG167" s="70"/>
      <c r="DH167" s="70"/>
      <c r="DI167" s="70"/>
      <c r="DJ167" s="177"/>
      <c r="DK167" s="70"/>
      <c r="DL167" s="70"/>
      <c r="DM167" s="70"/>
      <c r="DN167" s="71"/>
      <c r="DO167" s="71"/>
      <c r="DP167" s="71"/>
      <c r="DQ167" s="180"/>
      <c r="DR167" s="71"/>
      <c r="DS167" s="180"/>
      <c r="DT167" s="72"/>
      <c r="DV167" s="79">
        <f t="shared" si="62"/>
        <v>21.163703462998015</v>
      </c>
      <c r="DW167" s="73"/>
      <c r="DX167" s="72"/>
      <c r="DY167" s="75"/>
      <c r="DZ167" s="168"/>
      <c r="EA167" s="74"/>
      <c r="EB167" s="78"/>
      <c r="EC167" s="78"/>
      <c r="ED167" s="78"/>
      <c r="EE167" s="78">
        <f t="shared" si="64"/>
        <v>91.485744943031122</v>
      </c>
      <c r="EF167" s="79">
        <f t="shared" si="53"/>
        <v>63.007789959087248</v>
      </c>
      <c r="EG167" s="66"/>
      <c r="EH167" s="66"/>
      <c r="EI167" s="66"/>
      <c r="EJ167" s="79">
        <f t="shared" si="54"/>
        <v>93.533928297516027</v>
      </c>
      <c r="EK167" s="79">
        <f t="shared" si="56"/>
        <v>88.755025343045247</v>
      </c>
      <c r="EL167" s="66"/>
      <c r="EM167" s="66"/>
      <c r="EN167" s="66"/>
      <c r="EO167" s="66"/>
      <c r="EP167" s="79">
        <f t="shared" si="55"/>
        <v>95.840235355851902</v>
      </c>
    </row>
    <row r="168" spans="1:146" x14ac:dyDescent="0.3">
      <c r="A168" s="86">
        <v>44886</v>
      </c>
      <c r="B168" s="106">
        <f t="shared" si="63"/>
        <v>187</v>
      </c>
      <c r="C168" s="96">
        <v>81.969290762856446</v>
      </c>
      <c r="D168" s="93">
        <v>46.696172871648017</v>
      </c>
      <c r="E168" s="93">
        <v>429.06367041198502</v>
      </c>
      <c r="F168" s="187">
        <f t="shared" si="58"/>
        <v>35.273117891208429</v>
      </c>
      <c r="T168" s="72"/>
      <c r="U168" s="73">
        <v>352</v>
      </c>
      <c r="V168" s="73">
        <v>664</v>
      </c>
      <c r="W168" s="188">
        <f t="shared" si="61"/>
        <v>139.34535001947697</v>
      </c>
      <c r="X168" s="72"/>
      <c r="Y168" s="72"/>
      <c r="Z168" s="72"/>
      <c r="AA168" s="72"/>
      <c r="AB168" s="72"/>
      <c r="AD168" s="74">
        <v>7.08</v>
      </c>
      <c r="AE168" s="97"/>
      <c r="AF168" s="97"/>
      <c r="AG168" s="97"/>
      <c r="AH168" s="96"/>
      <c r="AS168" s="72"/>
      <c r="AT168" s="72"/>
      <c r="AU168" s="72"/>
      <c r="AV168" s="72"/>
      <c r="AW168" s="72"/>
      <c r="AX168" s="72"/>
      <c r="AY168" s="72"/>
      <c r="AZ168" s="72"/>
      <c r="BA168" s="72"/>
      <c r="BC168" s="74">
        <v>7.19</v>
      </c>
      <c r="BD168" s="93">
        <v>17.162076529368754</v>
      </c>
      <c r="BE168" s="93">
        <v>12.042697214267118</v>
      </c>
      <c r="BF168" s="93">
        <v>90.287141073657921</v>
      </c>
      <c r="BG168" s="93">
        <f t="shared" si="59"/>
        <v>5.1193793151016358</v>
      </c>
      <c r="BU168" s="72"/>
      <c r="BV168" s="72">
        <v>48.3</v>
      </c>
      <c r="BW168" s="72">
        <v>83</v>
      </c>
      <c r="BX168" s="72">
        <f xml:space="preserve"> 3.2275*BG168 + 149.91</f>
        <v>166.43279673949053</v>
      </c>
      <c r="BY168" s="72"/>
      <c r="BZ168" s="72"/>
      <c r="CA168" s="72"/>
      <c r="CB168" s="72"/>
      <c r="CD168" s="74">
        <v>6.82</v>
      </c>
      <c r="CE168" s="69"/>
      <c r="CF168" s="69"/>
      <c r="CG168" s="69"/>
      <c r="CH168" s="69"/>
      <c r="CI168" s="76"/>
      <c r="CJ168" s="76"/>
      <c r="CK168" s="177"/>
      <c r="CL168" s="76"/>
      <c r="CM168" s="76"/>
      <c r="CN168" s="71"/>
      <c r="CO168" s="71"/>
      <c r="CP168" s="71"/>
      <c r="CQ168" s="71"/>
      <c r="CR168" s="71"/>
      <c r="CS168" s="72"/>
      <c r="CT168" s="72"/>
      <c r="CU168" s="72"/>
      <c r="CV168" s="72"/>
      <c r="CW168" s="72"/>
      <c r="CX168" s="72"/>
      <c r="CY168" s="72"/>
      <c r="CZ168" s="72"/>
      <c r="DA168" s="168"/>
      <c r="DB168" s="67">
        <v>7.29</v>
      </c>
      <c r="DC168" s="69">
        <v>42.690714111625638</v>
      </c>
      <c r="DD168" s="69">
        <v>14.225462119239783</v>
      </c>
      <c r="DE168" s="69">
        <v>98.210570120682476</v>
      </c>
      <c r="DF168" s="69">
        <f t="shared" si="65"/>
        <v>28.465251992385856</v>
      </c>
      <c r="DG168" s="70"/>
      <c r="DH168" s="70"/>
      <c r="DI168" s="70"/>
      <c r="DJ168" s="177"/>
      <c r="DK168" s="70"/>
      <c r="DL168" s="70"/>
      <c r="DM168" s="70"/>
      <c r="DN168" s="71"/>
      <c r="DO168" s="71"/>
      <c r="DP168" s="71"/>
      <c r="DQ168" s="180"/>
      <c r="DR168" s="71"/>
      <c r="DS168" s="180"/>
      <c r="DT168" s="72"/>
      <c r="DU168" s="72">
        <v>17.8</v>
      </c>
      <c r="DV168" s="79">
        <f t="shared" si="62"/>
        <v>108.49905576941782</v>
      </c>
      <c r="DW168" s="73"/>
      <c r="DX168" s="72"/>
      <c r="DY168" s="75"/>
      <c r="DZ168" s="168"/>
      <c r="EA168" s="74">
        <v>7.21</v>
      </c>
      <c r="EB168" s="78"/>
      <c r="EC168" s="78"/>
      <c r="ED168" s="78"/>
      <c r="EE168" s="78">
        <f t="shared" si="64"/>
        <v>85.486456482550963</v>
      </c>
      <c r="EF168" s="79">
        <f t="shared" si="53"/>
        <v>-19.439074727809299</v>
      </c>
      <c r="EG168" s="66"/>
      <c r="EH168" s="66"/>
      <c r="EI168" s="66"/>
      <c r="EJ168" s="79">
        <f t="shared" si="54"/>
        <v>19.300437006503994</v>
      </c>
      <c r="EK168" s="79">
        <f t="shared" si="56"/>
        <v>34.809089377229945</v>
      </c>
      <c r="EL168" s="66"/>
      <c r="EM168" s="66"/>
      <c r="EN168" s="66"/>
      <c r="EO168" s="66"/>
      <c r="EP168" s="79">
        <f t="shared" si="55"/>
        <v>22.136579545530306</v>
      </c>
    </row>
    <row r="169" spans="1:146" x14ac:dyDescent="0.3">
      <c r="A169" s="86">
        <v>44889</v>
      </c>
      <c r="B169" s="106">
        <f t="shared" si="63"/>
        <v>190</v>
      </c>
      <c r="C169" s="96">
        <v>132.12928216922893</v>
      </c>
      <c r="D169" s="93">
        <v>59.537782394183324</v>
      </c>
      <c r="E169" s="93">
        <v>54.378559463986591</v>
      </c>
      <c r="F169" s="96">
        <f t="shared" si="58"/>
        <v>72.591499775045605</v>
      </c>
      <c r="T169" s="72"/>
      <c r="U169" s="73"/>
      <c r="V169" s="73"/>
      <c r="W169" s="72">
        <f t="shared" si="61"/>
        <v>271.79575100159184</v>
      </c>
      <c r="X169" s="72"/>
      <c r="Y169" s="72"/>
      <c r="Z169" s="72"/>
      <c r="AA169" s="72"/>
      <c r="AB169" s="72"/>
      <c r="AD169" s="74">
        <v>7.29</v>
      </c>
      <c r="AE169" s="97"/>
      <c r="AF169" s="97"/>
      <c r="AG169" s="97"/>
      <c r="AH169" s="96"/>
      <c r="AS169" s="72"/>
      <c r="AT169" s="72"/>
      <c r="AU169" s="72"/>
      <c r="AV169" s="72"/>
      <c r="AW169" s="72"/>
      <c r="AX169" s="72"/>
      <c r="AY169" s="72"/>
      <c r="AZ169" s="72"/>
      <c r="BA169" s="72"/>
      <c r="BC169" s="74">
        <v>6.72</v>
      </c>
      <c r="BD169" s="93">
        <v>154.44135092603801</v>
      </c>
      <c r="BE169" s="93">
        <v>139.84938976889117</v>
      </c>
      <c r="BF169" s="93">
        <v>70.887772194304858</v>
      </c>
      <c r="BG169" s="93">
        <f t="shared" si="59"/>
        <v>14.591961157146841</v>
      </c>
      <c r="BU169" s="72"/>
      <c r="BV169" s="72"/>
      <c r="BW169" s="72"/>
      <c r="BX169" s="72">
        <f t="shared" si="50"/>
        <v>197.00555463469144</v>
      </c>
      <c r="BY169" s="72"/>
      <c r="BZ169" s="72"/>
      <c r="CA169" s="72"/>
      <c r="CB169" s="72"/>
      <c r="CD169" s="74">
        <v>6.81</v>
      </c>
      <c r="CE169" s="69"/>
      <c r="CF169" s="69"/>
      <c r="CG169" s="69"/>
      <c r="CH169" s="69"/>
      <c r="CI169" s="76"/>
      <c r="CJ169" s="76"/>
      <c r="CK169" s="177"/>
      <c r="CL169" s="76"/>
      <c r="CM169" s="76"/>
      <c r="CN169" s="71"/>
      <c r="CO169" s="71"/>
      <c r="CP169" s="71"/>
      <c r="CQ169" s="71"/>
      <c r="CR169" s="71"/>
      <c r="CS169" s="72"/>
      <c r="CT169" s="72"/>
      <c r="CU169" s="72"/>
      <c r="CV169" s="72"/>
      <c r="CW169" s="72"/>
      <c r="CX169" s="72"/>
      <c r="CY169" s="72"/>
      <c r="CZ169" s="72"/>
      <c r="DA169" s="168"/>
      <c r="DB169" s="67">
        <v>7.25</v>
      </c>
      <c r="DC169" s="69">
        <v>19.290642779324539</v>
      </c>
      <c r="DD169" s="69">
        <v>10.978966502207218</v>
      </c>
      <c r="DE169" s="69">
        <v>104.52261306532662</v>
      </c>
      <c r="DF169" s="69">
        <f t="shared" si="65"/>
        <v>8.3116762771173214</v>
      </c>
      <c r="DG169" s="70"/>
      <c r="DH169" s="70"/>
      <c r="DI169" s="70"/>
      <c r="DJ169" s="177"/>
      <c r="DK169" s="70"/>
      <c r="DL169" s="70"/>
      <c r="DM169" s="70"/>
      <c r="DN169" s="71"/>
      <c r="DO169" s="71"/>
      <c r="DP169" s="71"/>
      <c r="DQ169" s="180"/>
      <c r="DR169" s="71"/>
      <c r="DS169" s="180"/>
      <c r="DT169" s="72"/>
      <c r="DU169" s="72"/>
      <c r="DV169" s="79">
        <f t="shared" si="62"/>
        <v>18.023608310862791</v>
      </c>
      <c r="DW169" s="73"/>
      <c r="DX169" s="72"/>
      <c r="DY169" s="75"/>
      <c r="DZ169" s="168"/>
      <c r="EA169" s="74">
        <v>7.25</v>
      </c>
      <c r="EB169" s="78"/>
      <c r="EC169" s="78"/>
      <c r="ED169" s="78"/>
      <c r="EE169" s="78">
        <f t="shared" si="64"/>
        <v>79.898526408235142</v>
      </c>
      <c r="EF169" s="79">
        <f t="shared" si="53"/>
        <v>27.517058707243137</v>
      </c>
      <c r="EG169" s="66"/>
      <c r="EH169" s="66"/>
      <c r="EI169" s="66"/>
      <c r="EJ169" s="79">
        <f t="shared" si="54"/>
        <v>88.550069494535251</v>
      </c>
      <c r="EK169" s="79">
        <f t="shared" si="56"/>
        <v>90.851218208398194</v>
      </c>
      <c r="EL169" s="66"/>
      <c r="EM169" s="66"/>
      <c r="EN169" s="66"/>
      <c r="EO169" s="66"/>
      <c r="EP169" s="79">
        <f t="shared" si="55"/>
        <v>93.368693864990831</v>
      </c>
    </row>
    <row r="170" spans="1:146" x14ac:dyDescent="0.3">
      <c r="A170" s="86">
        <v>44892</v>
      </c>
      <c r="B170" s="106">
        <f t="shared" si="63"/>
        <v>193</v>
      </c>
      <c r="C170" s="96">
        <v>238.75269848884628</v>
      </c>
      <c r="D170" s="93">
        <v>55.29860228716646</v>
      </c>
      <c r="E170" s="93">
        <v>53.672517595183585</v>
      </c>
      <c r="F170" s="96">
        <f t="shared" ref="F170:F192" si="66">C170-D170</f>
        <v>183.45409620167982</v>
      </c>
      <c r="T170" s="72"/>
      <c r="U170" s="73">
        <v>518</v>
      </c>
      <c r="V170" s="73">
        <v>928</v>
      </c>
      <c r="W170" s="72">
        <f>3.5492*F170 + 14.154</f>
        <v>665.26927823900201</v>
      </c>
      <c r="X170" s="72"/>
      <c r="Y170" s="72"/>
      <c r="Z170" s="72"/>
      <c r="AA170" s="72"/>
      <c r="AB170" s="72"/>
      <c r="AD170" s="74">
        <v>7.18</v>
      </c>
      <c r="AE170" s="97"/>
      <c r="AF170" s="97"/>
      <c r="AG170" s="97"/>
      <c r="AH170" s="96"/>
      <c r="AS170" s="72"/>
      <c r="AT170" s="72"/>
      <c r="AU170" s="72"/>
      <c r="AV170" s="72"/>
      <c r="AW170" s="72"/>
      <c r="AX170" s="72"/>
      <c r="AY170" s="72"/>
      <c r="AZ170" s="72"/>
      <c r="BA170" s="72"/>
      <c r="BC170" s="74">
        <v>6.75</v>
      </c>
      <c r="BD170" s="93">
        <v>124.00095946270091</v>
      </c>
      <c r="BE170" s="93">
        <v>110.92249047013979</v>
      </c>
      <c r="BF170" s="93">
        <v>66.887136436869326</v>
      </c>
      <c r="BG170" s="93">
        <f t="shared" ref="BG170:BG192" si="67">BD170-BE170</f>
        <v>13.078468992561113</v>
      </c>
      <c r="BU170" s="72"/>
      <c r="BV170" s="72">
        <v>42.3</v>
      </c>
      <c r="BW170" s="72">
        <v>156.5</v>
      </c>
      <c r="BX170" s="72">
        <f t="shared" si="50"/>
        <v>192.120758673491</v>
      </c>
      <c r="BY170" s="72"/>
      <c r="BZ170" s="72"/>
      <c r="CA170" s="72"/>
      <c r="CB170" s="72"/>
      <c r="CD170" s="74">
        <v>6.7</v>
      </c>
      <c r="CE170" s="69"/>
      <c r="CF170" s="69"/>
      <c r="CG170" s="69"/>
      <c r="CH170" s="69"/>
      <c r="CI170" s="76"/>
      <c r="CJ170" s="76"/>
      <c r="CK170" s="177"/>
      <c r="CL170" s="76"/>
      <c r="CM170" s="76"/>
      <c r="CN170" s="71"/>
      <c r="CO170" s="71"/>
      <c r="CP170" s="71"/>
      <c r="CQ170" s="71"/>
      <c r="CR170" s="71"/>
      <c r="CS170" s="72"/>
      <c r="CT170" s="72"/>
      <c r="CU170" s="72"/>
      <c r="CV170" s="72"/>
      <c r="CW170" s="72"/>
      <c r="CX170" s="72"/>
      <c r="CY170" s="72"/>
      <c r="CZ170" s="72"/>
      <c r="DA170" s="168"/>
      <c r="DB170" s="67">
        <v>7.1</v>
      </c>
      <c r="DC170" s="69">
        <v>14.295994243223795</v>
      </c>
      <c r="DD170" s="69">
        <v>6.9590851334180446</v>
      </c>
      <c r="DE170" s="69">
        <v>93.207835156448738</v>
      </c>
      <c r="DF170" s="69">
        <f t="shared" si="65"/>
        <v>7.3369091098057506</v>
      </c>
      <c r="DG170" s="70"/>
      <c r="DH170" s="70"/>
      <c r="DI170" s="70"/>
      <c r="DJ170" s="177"/>
      <c r="DK170" s="70"/>
      <c r="DL170" s="70"/>
      <c r="DM170" s="70"/>
      <c r="DN170" s="71"/>
      <c r="DO170" s="71"/>
      <c r="DP170" s="71"/>
      <c r="DQ170" s="180"/>
      <c r="DR170" s="71"/>
      <c r="DS170" s="180"/>
      <c r="DT170" s="72"/>
      <c r="DU170" s="118">
        <v>19.399999999999999</v>
      </c>
      <c r="DV170" s="79">
        <f t="shared" si="62"/>
        <v>13.647586066650959</v>
      </c>
      <c r="DW170" s="73"/>
      <c r="DX170" s="72"/>
      <c r="DY170" s="75"/>
      <c r="DZ170" s="168"/>
      <c r="EA170" s="74">
        <v>7.01</v>
      </c>
      <c r="EB170" s="78"/>
      <c r="EC170" s="78"/>
      <c r="ED170" s="78"/>
      <c r="EE170" s="78">
        <f t="shared" si="64"/>
        <v>92.870985568954893</v>
      </c>
      <c r="EF170" s="79">
        <f t="shared" si="53"/>
        <v>71.121354170743714</v>
      </c>
      <c r="EG170" s="66"/>
      <c r="EH170" s="66"/>
      <c r="EI170" s="66"/>
      <c r="EJ170" s="79">
        <f t="shared" si="54"/>
        <v>96.00068395216428</v>
      </c>
      <c r="EK170" s="79">
        <f t="shared" si="56"/>
        <v>92.896350107671068</v>
      </c>
      <c r="EL170" s="66"/>
      <c r="EM170" s="66"/>
      <c r="EN170" s="66"/>
      <c r="EO170" s="66"/>
      <c r="EP170" s="79">
        <f t="shared" si="55"/>
        <v>97.948562106643976</v>
      </c>
    </row>
    <row r="171" spans="1:146" x14ac:dyDescent="0.3">
      <c r="A171" s="86">
        <v>44895</v>
      </c>
      <c r="B171" s="106">
        <f t="shared" si="63"/>
        <v>196</v>
      </c>
      <c r="C171" s="96"/>
      <c r="D171" s="93"/>
      <c r="E171" s="93"/>
      <c r="F171" s="96">
        <f t="shared" si="66"/>
        <v>0</v>
      </c>
      <c r="T171" s="72"/>
      <c r="U171" s="73"/>
      <c r="V171" s="73"/>
      <c r="W171" s="72"/>
      <c r="X171" s="72"/>
      <c r="Y171" s="72"/>
      <c r="Z171" s="72"/>
      <c r="AA171" s="72"/>
      <c r="AB171" s="72"/>
      <c r="AE171" s="97"/>
      <c r="AF171" s="97"/>
      <c r="AG171" s="97"/>
      <c r="AH171" s="96"/>
      <c r="AS171" s="72"/>
      <c r="AT171" s="72"/>
      <c r="AU171" s="72"/>
      <c r="AV171" s="72"/>
      <c r="AW171" s="72"/>
      <c r="AX171" s="72"/>
      <c r="AY171" s="72"/>
      <c r="AZ171" s="72"/>
      <c r="BA171" s="72"/>
      <c r="BD171" s="93"/>
      <c r="BE171" s="93"/>
      <c r="BF171" s="93"/>
      <c r="BG171" s="93">
        <f t="shared" si="67"/>
        <v>0</v>
      </c>
      <c r="BU171" s="72"/>
      <c r="BV171" s="72"/>
      <c r="BW171" s="72"/>
      <c r="BX171" s="72"/>
      <c r="BY171" s="72"/>
      <c r="BZ171" s="72"/>
      <c r="CA171" s="72"/>
      <c r="CB171" s="72"/>
      <c r="CE171" s="69"/>
      <c r="CF171" s="69"/>
      <c r="CG171" s="69"/>
      <c r="CH171" s="69"/>
      <c r="CI171" s="76"/>
      <c r="CJ171" s="76"/>
      <c r="CK171" s="177"/>
      <c r="CL171" s="76"/>
      <c r="CM171" s="76"/>
      <c r="CN171" s="71"/>
      <c r="CO171" s="71"/>
      <c r="CP171" s="71"/>
      <c r="CQ171" s="71"/>
      <c r="CR171" s="71"/>
      <c r="CS171" s="72"/>
      <c r="CT171" s="72"/>
      <c r="CU171" s="72"/>
      <c r="CV171" s="72"/>
      <c r="CW171" s="72"/>
      <c r="CX171" s="72"/>
      <c r="CY171" s="72"/>
      <c r="CZ171" s="72"/>
      <c r="DA171" s="168"/>
      <c r="DB171" s="67"/>
      <c r="DC171" s="69"/>
      <c r="DD171" s="69"/>
      <c r="DE171" s="69"/>
      <c r="DF171" s="69">
        <f t="shared" si="65"/>
        <v>0</v>
      </c>
      <c r="DG171" s="70"/>
      <c r="DH171" s="70"/>
      <c r="DI171" s="70"/>
      <c r="DJ171" s="177"/>
      <c r="DK171" s="70"/>
      <c r="DL171" s="70"/>
      <c r="DM171" s="70"/>
      <c r="DN171" s="71"/>
      <c r="DO171" s="71"/>
      <c r="DP171" s="71"/>
      <c r="DQ171" s="180"/>
      <c r="DR171" s="71"/>
      <c r="DS171" s="180"/>
      <c r="DT171" s="72"/>
      <c r="DU171" s="72"/>
      <c r="DV171" s="72"/>
      <c r="DW171" s="73"/>
      <c r="DX171" s="72"/>
      <c r="DY171" s="75"/>
      <c r="DZ171" s="168"/>
      <c r="EA171" s="74"/>
      <c r="EB171" s="78"/>
      <c r="EC171" s="78"/>
      <c r="ED171" s="78"/>
      <c r="EE171" s="78"/>
      <c r="EF171" s="79"/>
      <c r="EG171" s="66"/>
      <c r="EH171" s="66"/>
      <c r="EI171" s="66"/>
      <c r="EJ171" s="79"/>
      <c r="EK171" s="66"/>
      <c r="EL171" s="66"/>
      <c r="EM171" s="66"/>
      <c r="EN171" s="66"/>
      <c r="EO171" s="66"/>
      <c r="EP171" s="66"/>
    </row>
    <row r="172" spans="1:146" x14ac:dyDescent="0.3">
      <c r="A172" s="86">
        <v>44896</v>
      </c>
      <c r="B172" s="106">
        <f t="shared" si="63"/>
        <v>197</v>
      </c>
      <c r="C172" s="96"/>
      <c r="D172" s="93"/>
      <c r="E172" s="93"/>
      <c r="F172" s="96">
        <f t="shared" si="66"/>
        <v>0</v>
      </c>
      <c r="T172" s="72"/>
      <c r="U172" s="73"/>
      <c r="V172" s="73"/>
      <c r="W172" s="72"/>
      <c r="X172" s="72"/>
      <c r="Y172" s="72"/>
      <c r="Z172" s="72"/>
      <c r="AA172" s="72"/>
      <c r="AB172" s="72"/>
      <c r="AE172" s="97"/>
      <c r="AF172" s="97"/>
      <c r="AG172" s="97"/>
      <c r="AH172" s="96"/>
      <c r="AS172" s="72"/>
      <c r="AT172" s="72"/>
      <c r="AU172" s="72"/>
      <c r="AV172" s="72"/>
      <c r="AW172" s="72"/>
      <c r="AX172" s="72"/>
      <c r="AY172" s="72"/>
      <c r="AZ172" s="72"/>
      <c r="BA172" s="72"/>
      <c r="BD172" s="93"/>
      <c r="BE172" s="93"/>
      <c r="BF172" s="93"/>
      <c r="BG172" s="93">
        <f t="shared" si="67"/>
        <v>0</v>
      </c>
      <c r="BU172" s="72"/>
      <c r="BV172" s="72"/>
      <c r="BW172" s="72"/>
      <c r="BX172" s="72"/>
      <c r="BY172" s="72"/>
      <c r="BZ172" s="72"/>
      <c r="CA172" s="72"/>
      <c r="CB172" s="72"/>
      <c r="CE172" s="69"/>
      <c r="CF172" s="69"/>
      <c r="CG172" s="69"/>
      <c r="CH172" s="69"/>
      <c r="CI172" s="76"/>
      <c r="CJ172" s="76"/>
      <c r="CK172" s="177"/>
      <c r="CL172" s="76"/>
      <c r="CM172" s="76"/>
      <c r="CN172" s="71"/>
      <c r="CO172" s="71"/>
      <c r="CP172" s="71"/>
      <c r="CQ172" s="71"/>
      <c r="CR172" s="71"/>
      <c r="CS172" s="72"/>
      <c r="CT172" s="72"/>
      <c r="CU172" s="72"/>
      <c r="CV172" s="72"/>
      <c r="CW172" s="72"/>
      <c r="CX172" s="72"/>
      <c r="CY172" s="72"/>
      <c r="CZ172" s="72"/>
      <c r="DA172" s="168"/>
      <c r="DB172" s="67"/>
      <c r="DC172" s="69"/>
      <c r="DD172" s="69"/>
      <c r="DE172" s="69"/>
      <c r="DF172" s="69">
        <f t="shared" si="65"/>
        <v>0</v>
      </c>
      <c r="DG172" s="70"/>
      <c r="DH172" s="70"/>
      <c r="DI172" s="70"/>
      <c r="DJ172" s="177"/>
      <c r="DK172" s="70"/>
      <c r="DL172" s="70"/>
      <c r="DM172" s="70"/>
      <c r="DN172" s="71"/>
      <c r="DO172" s="71"/>
      <c r="DP172" s="71"/>
      <c r="DQ172" s="180"/>
      <c r="DR172" s="71"/>
      <c r="DS172" s="180"/>
      <c r="DT172" s="72"/>
      <c r="DU172" s="72"/>
      <c r="DV172" s="72"/>
      <c r="DW172" s="73"/>
      <c r="DX172" s="72"/>
      <c r="DY172" s="75"/>
      <c r="DZ172" s="168"/>
      <c r="EA172" s="74"/>
      <c r="EB172" s="78"/>
      <c r="EC172" s="78"/>
      <c r="ED172" s="78"/>
      <c r="EE172" s="78"/>
      <c r="EF172" s="79"/>
      <c r="EG172" s="66"/>
      <c r="EH172" s="66"/>
      <c r="EI172" s="66"/>
      <c r="EJ172" s="79"/>
      <c r="EK172" s="66"/>
      <c r="EL172" s="66"/>
      <c r="EM172" s="66"/>
      <c r="EN172" s="66"/>
      <c r="EO172" s="66"/>
      <c r="EP172" s="66"/>
    </row>
    <row r="173" spans="1:146" x14ac:dyDescent="0.3">
      <c r="A173" s="86">
        <v>44897</v>
      </c>
      <c r="B173" s="106">
        <f t="shared" si="63"/>
        <v>198</v>
      </c>
      <c r="C173" s="96"/>
      <c r="D173" s="93"/>
      <c r="E173" s="93"/>
      <c r="F173" s="96">
        <f t="shared" si="66"/>
        <v>0</v>
      </c>
      <c r="T173" s="72"/>
      <c r="U173" s="73"/>
      <c r="V173" s="73"/>
      <c r="W173" s="72"/>
      <c r="X173" s="72"/>
      <c r="Y173" s="72"/>
      <c r="Z173" s="72"/>
      <c r="AA173" s="72"/>
      <c r="AB173" s="72"/>
      <c r="AE173" s="97"/>
      <c r="AF173" s="97"/>
      <c r="AG173" s="97"/>
      <c r="AH173" s="96"/>
      <c r="AS173" s="72"/>
      <c r="AT173" s="72"/>
      <c r="AU173" s="72"/>
      <c r="AV173" s="72"/>
      <c r="AW173" s="72"/>
      <c r="AX173" s="72"/>
      <c r="AY173" s="72"/>
      <c r="AZ173" s="72"/>
      <c r="BA173" s="72"/>
      <c r="BD173" s="93"/>
      <c r="BE173" s="93"/>
      <c r="BF173" s="93"/>
      <c r="BG173" s="93">
        <f t="shared" si="67"/>
        <v>0</v>
      </c>
      <c r="BU173" s="72"/>
      <c r="BV173" s="72"/>
      <c r="BW173" s="72"/>
      <c r="BX173" s="72"/>
      <c r="BY173" s="72"/>
      <c r="BZ173" s="72"/>
      <c r="CA173" s="72"/>
      <c r="CB173" s="72"/>
      <c r="CE173" s="69"/>
      <c r="CF173" s="69"/>
      <c r="CG173" s="69"/>
      <c r="CH173" s="69"/>
      <c r="CI173" s="76"/>
      <c r="CJ173" s="76"/>
      <c r="CK173" s="177"/>
      <c r="CL173" s="76"/>
      <c r="CM173" s="76"/>
      <c r="CN173" s="71"/>
      <c r="CO173" s="71"/>
      <c r="CP173" s="71"/>
      <c r="CQ173" s="71"/>
      <c r="CR173" s="71"/>
      <c r="CS173" s="72"/>
      <c r="CT173" s="72"/>
      <c r="CU173" s="72"/>
      <c r="CV173" s="72"/>
      <c r="CW173" s="72"/>
      <c r="CX173" s="72"/>
      <c r="CY173" s="72"/>
      <c r="CZ173" s="72"/>
      <c r="DA173" s="168"/>
      <c r="DB173" s="67"/>
      <c r="DC173" s="69"/>
      <c r="DD173" s="69"/>
      <c r="DE173" s="69"/>
      <c r="DF173" s="69">
        <f t="shared" si="65"/>
        <v>0</v>
      </c>
      <c r="DG173" s="70"/>
      <c r="DH173" s="70"/>
      <c r="DI173" s="70"/>
      <c r="DJ173" s="177"/>
      <c r="DK173" s="70"/>
      <c r="DL173" s="70"/>
      <c r="DM173" s="70"/>
      <c r="DN173" s="71"/>
      <c r="DO173" s="71"/>
      <c r="DP173" s="71"/>
      <c r="DQ173" s="180"/>
      <c r="DR173" s="71"/>
      <c r="DS173" s="180"/>
      <c r="DT173" s="72"/>
      <c r="DU173" s="72"/>
      <c r="DV173" s="72"/>
      <c r="DW173" s="73"/>
      <c r="DX173" s="72"/>
      <c r="DY173" s="75"/>
      <c r="DZ173" s="168"/>
      <c r="EA173" s="74"/>
      <c r="EB173" s="78"/>
      <c r="EC173" s="78"/>
      <c r="ED173" s="78"/>
      <c r="EE173" s="78"/>
      <c r="EF173" s="79"/>
      <c r="EG173" s="66"/>
      <c r="EH173" s="66"/>
      <c r="EI173" s="66"/>
      <c r="EJ173" s="79"/>
      <c r="EK173" s="66"/>
      <c r="EL173" s="66"/>
      <c r="EM173" s="66"/>
      <c r="EN173" s="66"/>
      <c r="EO173" s="66"/>
      <c r="EP173" s="66"/>
    </row>
    <row r="174" spans="1:146" x14ac:dyDescent="0.3">
      <c r="A174" s="86">
        <v>44898</v>
      </c>
      <c r="B174" s="106">
        <f t="shared" si="63"/>
        <v>199</v>
      </c>
      <c r="C174" s="96"/>
      <c r="D174" s="93"/>
      <c r="E174" s="93"/>
      <c r="F174" s="96">
        <f t="shared" si="66"/>
        <v>0</v>
      </c>
      <c r="T174" s="72"/>
      <c r="U174" s="73"/>
      <c r="V174" s="73"/>
      <c r="W174" s="72"/>
      <c r="X174" s="72"/>
      <c r="Y174" s="72"/>
      <c r="Z174" s="72"/>
      <c r="AA174" s="72"/>
      <c r="AB174" s="72"/>
      <c r="AE174" s="97"/>
      <c r="AF174" s="97"/>
      <c r="AG174" s="97"/>
      <c r="AH174" s="96"/>
      <c r="AS174" s="72"/>
      <c r="AT174" s="72"/>
      <c r="AU174" s="72"/>
      <c r="AV174" s="72"/>
      <c r="AW174" s="72"/>
      <c r="AX174" s="72"/>
      <c r="AY174" s="72"/>
      <c r="AZ174" s="72"/>
      <c r="BA174" s="72"/>
      <c r="BD174" s="93"/>
      <c r="BE174" s="93"/>
      <c r="BF174" s="93"/>
      <c r="BG174" s="93">
        <f t="shared" si="67"/>
        <v>0</v>
      </c>
      <c r="BU174" s="72"/>
      <c r="BV174" s="72"/>
      <c r="BW174" s="72"/>
      <c r="BX174" s="72"/>
      <c r="BY174" s="72"/>
      <c r="BZ174" s="72"/>
      <c r="CA174" s="72"/>
      <c r="CB174" s="72"/>
      <c r="CE174" s="69"/>
      <c r="CF174" s="69"/>
      <c r="CG174" s="69"/>
      <c r="CH174" s="69"/>
      <c r="CI174" s="76"/>
      <c r="CJ174" s="76"/>
      <c r="CK174" s="177"/>
      <c r="CL174" s="76"/>
      <c r="CM174" s="76"/>
      <c r="CN174" s="71"/>
      <c r="CO174" s="71"/>
      <c r="CP174" s="71"/>
      <c r="CQ174" s="71"/>
      <c r="CR174" s="71"/>
      <c r="CS174" s="72"/>
      <c r="CT174" s="72"/>
      <c r="CU174" s="72"/>
      <c r="CV174" s="72"/>
      <c r="CW174" s="72"/>
      <c r="CX174" s="72"/>
      <c r="CY174" s="72"/>
      <c r="CZ174" s="72"/>
      <c r="DA174" s="168"/>
      <c r="DB174" s="67"/>
      <c r="DC174" s="69"/>
      <c r="DD174" s="69"/>
      <c r="DE174" s="69"/>
      <c r="DF174" s="69">
        <f t="shared" si="65"/>
        <v>0</v>
      </c>
      <c r="DG174" s="70"/>
      <c r="DH174" s="70"/>
      <c r="DI174" s="70"/>
      <c r="DJ174" s="177"/>
      <c r="DK174" s="70"/>
      <c r="DL174" s="70"/>
      <c r="DM174" s="70"/>
      <c r="DN174" s="71"/>
      <c r="DO174" s="71"/>
      <c r="DP174" s="71"/>
      <c r="DQ174" s="180"/>
      <c r="DR174" s="71"/>
      <c r="DS174" s="180"/>
      <c r="DT174" s="72"/>
      <c r="DU174" s="72"/>
      <c r="DV174" s="72"/>
      <c r="DW174" s="73"/>
      <c r="DX174" s="72"/>
      <c r="DY174" s="75"/>
      <c r="DZ174" s="168"/>
      <c r="EA174" s="74"/>
      <c r="EB174" s="78"/>
      <c r="EC174" s="78"/>
      <c r="ED174" s="78"/>
      <c r="EE174" s="78"/>
      <c r="EF174" s="79"/>
      <c r="EG174" s="66"/>
      <c r="EH174" s="66"/>
      <c r="EI174" s="66"/>
      <c r="EJ174" s="79"/>
      <c r="EK174" s="66"/>
      <c r="EL174" s="66"/>
      <c r="EM174" s="66"/>
      <c r="EN174" s="66"/>
      <c r="EO174" s="66"/>
      <c r="EP174" s="66"/>
    </row>
    <row r="175" spans="1:146" x14ac:dyDescent="0.3">
      <c r="A175" s="86">
        <v>44899</v>
      </c>
      <c r="B175" s="106">
        <f t="shared" si="63"/>
        <v>200</v>
      </c>
      <c r="C175" s="96"/>
      <c r="D175" s="93"/>
      <c r="E175" s="93"/>
      <c r="F175" s="96">
        <f t="shared" si="66"/>
        <v>0</v>
      </c>
      <c r="T175" s="72"/>
      <c r="U175" s="73"/>
      <c r="V175" s="73"/>
      <c r="W175" s="72"/>
      <c r="X175" s="72"/>
      <c r="Y175" s="72"/>
      <c r="Z175" s="72"/>
      <c r="AA175" s="72"/>
      <c r="AB175" s="72"/>
      <c r="AE175" s="97"/>
      <c r="AF175" s="97"/>
      <c r="AG175" s="97"/>
      <c r="AH175" s="96"/>
      <c r="AS175" s="72"/>
      <c r="AT175" s="72"/>
      <c r="AU175" s="72"/>
      <c r="AV175" s="72"/>
      <c r="AW175" s="72"/>
      <c r="AX175" s="72"/>
      <c r="AY175" s="72"/>
      <c r="AZ175" s="72"/>
      <c r="BA175" s="72"/>
      <c r="BD175" s="93"/>
      <c r="BE175" s="93"/>
      <c r="BF175" s="93"/>
      <c r="BG175" s="93">
        <f t="shared" si="67"/>
        <v>0</v>
      </c>
      <c r="BU175" s="72"/>
      <c r="BV175" s="72"/>
      <c r="BW175" s="72"/>
      <c r="BX175" s="72"/>
      <c r="BY175" s="72"/>
      <c r="BZ175" s="72"/>
      <c r="CA175" s="72"/>
      <c r="CB175" s="72"/>
      <c r="CE175" s="69"/>
      <c r="CF175" s="69"/>
      <c r="CG175" s="69"/>
      <c r="CH175" s="69"/>
      <c r="CI175" s="76"/>
      <c r="CJ175" s="76"/>
      <c r="CK175" s="177"/>
      <c r="CL175" s="76"/>
      <c r="CM175" s="76"/>
      <c r="CN175" s="71"/>
      <c r="CO175" s="71"/>
      <c r="CP175" s="71"/>
      <c r="CQ175" s="71"/>
      <c r="CR175" s="71"/>
      <c r="CS175" s="72"/>
      <c r="CT175" s="72"/>
      <c r="CU175" s="72"/>
      <c r="CV175" s="72"/>
      <c r="CW175" s="72"/>
      <c r="CX175" s="72"/>
      <c r="CY175" s="72"/>
      <c r="CZ175" s="72"/>
      <c r="DA175" s="168"/>
      <c r="DB175" s="67"/>
      <c r="DC175" s="69"/>
      <c r="DD175" s="69"/>
      <c r="DE175" s="69"/>
      <c r="DF175" s="69">
        <f t="shared" si="65"/>
        <v>0</v>
      </c>
      <c r="DG175" s="70"/>
      <c r="DH175" s="70"/>
      <c r="DI175" s="70"/>
      <c r="DJ175" s="177"/>
      <c r="DK175" s="70"/>
      <c r="DL175" s="70"/>
      <c r="DM175" s="70"/>
      <c r="DN175" s="71"/>
      <c r="DO175" s="71"/>
      <c r="DP175" s="71"/>
      <c r="DQ175" s="180"/>
      <c r="DR175" s="71"/>
      <c r="DS175" s="180"/>
      <c r="DT175" s="72"/>
      <c r="DU175" s="72"/>
      <c r="DV175" s="72"/>
      <c r="DW175" s="73"/>
      <c r="DX175" s="72"/>
      <c r="DY175" s="75"/>
      <c r="DZ175" s="168"/>
      <c r="EA175" s="74"/>
      <c r="EB175" s="78"/>
      <c r="EC175" s="78"/>
      <c r="ED175" s="78"/>
      <c r="EE175" s="78"/>
      <c r="EF175" s="79"/>
      <c r="EG175" s="66"/>
      <c r="EH175" s="66"/>
      <c r="EI175" s="66"/>
      <c r="EJ175" s="79"/>
      <c r="EK175" s="66"/>
      <c r="EL175" s="66"/>
      <c r="EM175" s="66"/>
      <c r="EN175" s="66"/>
      <c r="EO175" s="66"/>
      <c r="EP175" s="66"/>
    </row>
    <row r="176" spans="1:146" x14ac:dyDescent="0.3">
      <c r="A176" s="86">
        <v>44900</v>
      </c>
      <c r="B176" s="106">
        <f t="shared" si="63"/>
        <v>201</v>
      </c>
      <c r="C176" s="96"/>
      <c r="D176" s="93"/>
      <c r="E176" s="93"/>
      <c r="F176" s="96">
        <f t="shared" si="66"/>
        <v>0</v>
      </c>
      <c r="T176" s="72"/>
      <c r="U176" s="73"/>
      <c r="V176" s="73"/>
      <c r="W176" s="72"/>
      <c r="X176" s="72"/>
      <c r="Y176" s="72"/>
      <c r="Z176" s="72"/>
      <c r="AA176" s="72"/>
      <c r="AB176" s="72"/>
      <c r="AE176" s="97"/>
      <c r="AF176" s="97"/>
      <c r="AG176" s="97"/>
      <c r="AH176" s="96"/>
      <c r="AS176" s="72"/>
      <c r="AT176" s="72"/>
      <c r="AU176" s="72"/>
      <c r="AV176" s="72"/>
      <c r="AW176" s="72"/>
      <c r="AX176" s="72"/>
      <c r="AY176" s="72"/>
      <c r="AZ176" s="72"/>
      <c r="BA176" s="72"/>
      <c r="BD176" s="93"/>
      <c r="BE176" s="93"/>
      <c r="BF176" s="93"/>
      <c r="BG176" s="93">
        <f t="shared" si="67"/>
        <v>0</v>
      </c>
      <c r="BU176" s="72"/>
      <c r="BV176" s="72"/>
      <c r="BW176" s="72"/>
      <c r="BX176" s="72"/>
      <c r="BY176" s="72"/>
      <c r="BZ176" s="72"/>
      <c r="CA176" s="72"/>
      <c r="CB176" s="72"/>
      <c r="CE176" s="69"/>
      <c r="CF176" s="69"/>
      <c r="CG176" s="69"/>
      <c r="CH176" s="69"/>
      <c r="CI176" s="76"/>
      <c r="CJ176" s="76"/>
      <c r="CK176" s="177"/>
      <c r="CL176" s="76"/>
      <c r="CM176" s="76"/>
      <c r="CN176" s="71"/>
      <c r="CO176" s="71"/>
      <c r="CP176" s="71"/>
      <c r="CQ176" s="71"/>
      <c r="CR176" s="71"/>
      <c r="CS176" s="72"/>
      <c r="CT176" s="72"/>
      <c r="CU176" s="72"/>
      <c r="CV176" s="72"/>
      <c r="CW176" s="72"/>
      <c r="CX176" s="72"/>
      <c r="CY176" s="72"/>
      <c r="CZ176" s="72"/>
      <c r="DA176" s="168"/>
      <c r="DB176" s="67"/>
      <c r="DC176" s="69"/>
      <c r="DD176" s="69"/>
      <c r="DE176" s="69"/>
      <c r="DF176" s="69">
        <f t="shared" si="65"/>
        <v>0</v>
      </c>
      <c r="DG176" s="70"/>
      <c r="DH176" s="70"/>
      <c r="DI176" s="70"/>
      <c r="DJ176" s="177"/>
      <c r="DK176" s="70"/>
      <c r="DL176" s="70"/>
      <c r="DM176" s="70"/>
      <c r="DN176" s="71"/>
      <c r="DO176" s="71"/>
      <c r="DP176" s="71"/>
      <c r="DQ176" s="180"/>
      <c r="DR176" s="71"/>
      <c r="DS176" s="180"/>
      <c r="DT176" s="72"/>
      <c r="DU176" s="72"/>
      <c r="DV176" s="72"/>
      <c r="DW176" s="73"/>
      <c r="DX176" s="72"/>
      <c r="DY176" s="75"/>
      <c r="DZ176" s="168"/>
      <c r="EA176" s="74"/>
      <c r="EB176" s="78"/>
      <c r="EC176" s="78"/>
      <c r="ED176" s="78"/>
      <c r="EE176" s="78"/>
      <c r="EF176" s="79"/>
      <c r="EG176" s="66"/>
      <c r="EH176" s="66"/>
      <c r="EI176" s="66"/>
      <c r="EJ176" s="79"/>
      <c r="EK176" s="66"/>
      <c r="EL176" s="66"/>
      <c r="EM176" s="66"/>
      <c r="EN176" s="66"/>
      <c r="EO176" s="66"/>
      <c r="EP176" s="66"/>
    </row>
    <row r="177" spans="1:146" x14ac:dyDescent="0.3">
      <c r="A177" s="86">
        <v>44901</v>
      </c>
      <c r="B177" s="106">
        <f t="shared" si="63"/>
        <v>202</v>
      </c>
      <c r="C177" s="96"/>
      <c r="D177" s="93"/>
      <c r="E177" s="93"/>
      <c r="F177" s="96">
        <f t="shared" si="66"/>
        <v>0</v>
      </c>
      <c r="T177" s="72"/>
      <c r="U177" s="73"/>
      <c r="V177" s="73"/>
      <c r="W177" s="72"/>
      <c r="X177" s="72"/>
      <c r="Y177" s="72"/>
      <c r="Z177" s="72"/>
      <c r="AA177" s="72"/>
      <c r="AB177" s="72"/>
      <c r="AE177" s="97"/>
      <c r="AF177" s="97"/>
      <c r="AG177" s="97"/>
      <c r="AH177" s="96"/>
      <c r="AS177" s="72"/>
      <c r="AT177" s="72"/>
      <c r="AU177" s="72"/>
      <c r="AV177" s="72"/>
      <c r="AW177" s="72"/>
      <c r="AX177" s="72"/>
      <c r="AY177" s="72"/>
      <c r="AZ177" s="72"/>
      <c r="BA177" s="72"/>
      <c r="BD177" s="93"/>
      <c r="BE177" s="93"/>
      <c r="BF177" s="93"/>
      <c r="BG177" s="93">
        <f t="shared" si="67"/>
        <v>0</v>
      </c>
      <c r="BU177" s="72"/>
      <c r="BV177" s="72"/>
      <c r="BW177" s="72"/>
      <c r="BX177" s="72"/>
      <c r="BY177" s="72"/>
      <c r="BZ177" s="72"/>
      <c r="CA177" s="72"/>
      <c r="CB177" s="72"/>
      <c r="CE177" s="69"/>
      <c r="CF177" s="69"/>
      <c r="CG177" s="69"/>
      <c r="CH177" s="69"/>
      <c r="CI177" s="76"/>
      <c r="CJ177" s="76"/>
      <c r="CK177" s="177"/>
      <c r="CL177" s="76"/>
      <c r="CM177" s="76"/>
      <c r="CN177" s="71"/>
      <c r="CO177" s="71"/>
      <c r="CP177" s="71"/>
      <c r="CQ177" s="71"/>
      <c r="CR177" s="71"/>
      <c r="CS177" s="72"/>
      <c r="CT177" s="72"/>
      <c r="CU177" s="72"/>
      <c r="CV177" s="72"/>
      <c r="CW177" s="72"/>
      <c r="CX177" s="72"/>
      <c r="CY177" s="72"/>
      <c r="CZ177" s="72"/>
      <c r="DA177" s="168"/>
      <c r="DB177" s="67"/>
      <c r="DC177" s="69"/>
      <c r="DD177" s="69"/>
      <c r="DE177" s="69"/>
      <c r="DF177" s="69">
        <f t="shared" si="65"/>
        <v>0</v>
      </c>
      <c r="DG177" s="70"/>
      <c r="DH177" s="70"/>
      <c r="DI177" s="70"/>
      <c r="DJ177" s="177"/>
      <c r="DK177" s="70"/>
      <c r="DL177" s="70"/>
      <c r="DM177" s="70"/>
      <c r="DN177" s="71"/>
      <c r="DO177" s="71"/>
      <c r="DP177" s="71"/>
      <c r="DQ177" s="180"/>
      <c r="DR177" s="71"/>
      <c r="DS177" s="180"/>
      <c r="DT177" s="72"/>
      <c r="DU177" s="72"/>
      <c r="DV177" s="72"/>
      <c r="DW177" s="73"/>
      <c r="DX177" s="72"/>
      <c r="DY177" s="75"/>
      <c r="DZ177" s="168"/>
      <c r="EA177" s="74"/>
      <c r="EB177" s="78"/>
      <c r="EC177" s="78"/>
      <c r="ED177" s="78"/>
      <c r="EE177" s="78"/>
      <c r="EF177" s="79"/>
      <c r="EG177" s="66"/>
      <c r="EH177" s="66"/>
      <c r="EI177" s="66"/>
      <c r="EJ177" s="79"/>
      <c r="EK177" s="66"/>
      <c r="EL177" s="66"/>
      <c r="EM177" s="66"/>
      <c r="EN177" s="66"/>
      <c r="EO177" s="66"/>
      <c r="EP177" s="66"/>
    </row>
    <row r="178" spans="1:146" x14ac:dyDescent="0.3">
      <c r="A178" s="86">
        <v>44902</v>
      </c>
      <c r="B178" s="106">
        <f t="shared" si="63"/>
        <v>203</v>
      </c>
      <c r="C178" s="96"/>
      <c r="D178" s="93"/>
      <c r="E178" s="93"/>
      <c r="F178" s="96">
        <f t="shared" si="66"/>
        <v>0</v>
      </c>
      <c r="T178" s="72"/>
      <c r="U178" s="73"/>
      <c r="V178" s="73"/>
      <c r="W178" s="72"/>
      <c r="X178" s="72"/>
      <c r="Y178" s="72"/>
      <c r="Z178" s="72"/>
      <c r="AA178" s="72"/>
      <c r="AB178" s="72"/>
      <c r="AE178" s="97"/>
      <c r="AF178" s="97"/>
      <c r="AG178" s="97"/>
      <c r="AH178" s="96"/>
      <c r="AS178" s="72"/>
      <c r="AT178" s="72"/>
      <c r="AU178" s="72"/>
      <c r="AV178" s="72"/>
      <c r="AW178" s="72"/>
      <c r="AX178" s="72"/>
      <c r="AY178" s="72"/>
      <c r="AZ178" s="72"/>
      <c r="BA178" s="72"/>
      <c r="BD178" s="93"/>
      <c r="BE178" s="93"/>
      <c r="BF178" s="93"/>
      <c r="BG178" s="93">
        <f t="shared" si="67"/>
        <v>0</v>
      </c>
      <c r="BU178" s="72"/>
      <c r="BV178" s="72"/>
      <c r="BW178" s="72"/>
      <c r="BX178" s="72"/>
      <c r="BY178" s="72"/>
      <c r="BZ178" s="72"/>
      <c r="CA178" s="72"/>
      <c r="CB178" s="72"/>
      <c r="CE178" s="69"/>
      <c r="CF178" s="69"/>
      <c r="CG178" s="69"/>
      <c r="CH178" s="69"/>
      <c r="CI178" s="76"/>
      <c r="CJ178" s="76"/>
      <c r="CK178" s="177"/>
      <c r="CL178" s="76"/>
      <c r="CM178" s="76"/>
      <c r="CN178" s="71"/>
      <c r="CO178" s="71"/>
      <c r="CP178" s="71"/>
      <c r="CQ178" s="71"/>
      <c r="CR178" s="71"/>
      <c r="CS178" s="72"/>
      <c r="CT178" s="72"/>
      <c r="CU178" s="72"/>
      <c r="CV178" s="72"/>
      <c r="CW178" s="72"/>
      <c r="CX178" s="72"/>
      <c r="CY178" s="72"/>
      <c r="CZ178" s="72"/>
      <c r="DA178" s="168"/>
      <c r="DB178" s="67"/>
      <c r="DC178" s="69"/>
      <c r="DD178" s="69"/>
      <c r="DE178" s="69"/>
      <c r="DF178" s="69">
        <f t="shared" si="65"/>
        <v>0</v>
      </c>
      <c r="DG178" s="70"/>
      <c r="DH178" s="70"/>
      <c r="DI178" s="70"/>
      <c r="DJ178" s="177"/>
      <c r="DK178" s="70"/>
      <c r="DL178" s="70"/>
      <c r="DM178" s="70"/>
      <c r="DN178" s="71"/>
      <c r="DO178" s="71"/>
      <c r="DP178" s="71"/>
      <c r="DQ178" s="180"/>
      <c r="DR178" s="71"/>
      <c r="DS178" s="180"/>
      <c r="DT178" s="72"/>
      <c r="DU178" s="72"/>
      <c r="DV178" s="72"/>
      <c r="DW178" s="73"/>
      <c r="DX178" s="72"/>
      <c r="DY178" s="75"/>
      <c r="DZ178" s="168"/>
      <c r="EA178" s="74"/>
      <c r="EB178" s="78"/>
      <c r="EC178" s="78"/>
      <c r="ED178" s="78"/>
      <c r="EE178" s="78"/>
      <c r="EF178" s="79"/>
      <c r="EG178" s="66"/>
      <c r="EH178" s="66"/>
      <c r="EI178" s="66"/>
      <c r="EJ178" s="79"/>
      <c r="EK178" s="66"/>
      <c r="EL178" s="66"/>
      <c r="EM178" s="66"/>
      <c r="EN178" s="66"/>
      <c r="EO178" s="66"/>
      <c r="EP178" s="66"/>
    </row>
    <row r="179" spans="1:146" x14ac:dyDescent="0.3">
      <c r="A179" s="86">
        <v>44903</v>
      </c>
      <c r="B179" s="106">
        <f t="shared" si="63"/>
        <v>204</v>
      </c>
      <c r="C179" s="96"/>
      <c r="D179" s="93"/>
      <c r="E179" s="93"/>
      <c r="F179" s="96">
        <f t="shared" si="66"/>
        <v>0</v>
      </c>
      <c r="T179" s="72"/>
      <c r="U179" s="73"/>
      <c r="V179" s="73"/>
      <c r="W179" s="72"/>
      <c r="X179" s="72"/>
      <c r="Y179" s="72"/>
      <c r="Z179" s="72"/>
      <c r="AA179" s="72"/>
      <c r="AB179" s="72"/>
      <c r="AE179" s="97"/>
      <c r="AF179" s="97"/>
      <c r="AG179" s="97"/>
      <c r="AH179" s="96"/>
      <c r="AS179" s="72"/>
      <c r="AT179" s="72"/>
      <c r="AU179" s="72"/>
      <c r="AV179" s="72"/>
      <c r="AW179" s="72"/>
      <c r="AX179" s="72"/>
      <c r="AY179" s="72"/>
      <c r="AZ179" s="72"/>
      <c r="BA179" s="72"/>
      <c r="BD179" s="93"/>
      <c r="BE179" s="93"/>
      <c r="BF179" s="93"/>
      <c r="BG179" s="93">
        <f t="shared" si="67"/>
        <v>0</v>
      </c>
      <c r="BU179" s="72"/>
      <c r="BV179" s="72"/>
      <c r="BW179" s="72"/>
      <c r="BX179" s="72"/>
      <c r="BY179" s="72"/>
      <c r="BZ179" s="72"/>
      <c r="CA179" s="72"/>
      <c r="CB179" s="72"/>
      <c r="CE179" s="69"/>
      <c r="CF179" s="69"/>
      <c r="CG179" s="69"/>
      <c r="CH179" s="69"/>
      <c r="CI179" s="76"/>
      <c r="CJ179" s="76"/>
      <c r="CK179" s="177"/>
      <c r="CL179" s="76"/>
      <c r="CM179" s="76"/>
      <c r="CN179" s="71"/>
      <c r="CO179" s="71"/>
      <c r="CP179" s="71"/>
      <c r="CQ179" s="71"/>
      <c r="CR179" s="71"/>
      <c r="CS179" s="72"/>
      <c r="CT179" s="72"/>
      <c r="CU179" s="72"/>
      <c r="CV179" s="72"/>
      <c r="CW179" s="72"/>
      <c r="CX179" s="72"/>
      <c r="CY179" s="72"/>
      <c r="CZ179" s="72"/>
      <c r="DA179" s="168"/>
      <c r="DB179" s="67"/>
      <c r="DC179" s="69"/>
      <c r="DD179" s="69"/>
      <c r="DE179" s="69"/>
      <c r="DF179" s="69">
        <f t="shared" si="65"/>
        <v>0</v>
      </c>
      <c r="DG179" s="70"/>
      <c r="DH179" s="70"/>
      <c r="DI179" s="70"/>
      <c r="DJ179" s="177"/>
      <c r="DK179" s="70"/>
      <c r="DL179" s="70"/>
      <c r="DM179" s="70"/>
      <c r="DN179" s="71"/>
      <c r="DO179" s="71"/>
      <c r="DP179" s="71"/>
      <c r="DQ179" s="180"/>
      <c r="DR179" s="71"/>
      <c r="DS179" s="180"/>
      <c r="DT179" s="72"/>
      <c r="DU179" s="72"/>
      <c r="DV179" s="72"/>
      <c r="DW179" s="73"/>
      <c r="DX179" s="72"/>
      <c r="DY179" s="75"/>
      <c r="DZ179" s="168"/>
      <c r="EA179" s="74"/>
      <c r="EB179" s="78"/>
      <c r="EC179" s="78"/>
      <c r="ED179" s="78"/>
      <c r="EE179" s="78"/>
      <c r="EF179" s="79"/>
      <c r="EG179" s="66"/>
      <c r="EH179" s="66"/>
      <c r="EI179" s="66"/>
      <c r="EJ179" s="79"/>
      <c r="EK179" s="66"/>
      <c r="EL179" s="66"/>
      <c r="EM179" s="66"/>
      <c r="EN179" s="66"/>
      <c r="EO179" s="66"/>
      <c r="EP179" s="66"/>
    </row>
    <row r="180" spans="1:146" x14ac:dyDescent="0.3">
      <c r="A180" s="86">
        <v>44904</v>
      </c>
      <c r="B180" s="106">
        <f t="shared" si="63"/>
        <v>205</v>
      </c>
      <c r="C180" s="96"/>
      <c r="D180" s="93"/>
      <c r="E180" s="93"/>
      <c r="F180" s="96">
        <f t="shared" si="66"/>
        <v>0</v>
      </c>
      <c r="T180" s="72"/>
      <c r="U180" s="73"/>
      <c r="V180" s="73"/>
      <c r="W180" s="72"/>
      <c r="X180" s="72"/>
      <c r="Y180" s="72"/>
      <c r="Z180" s="72"/>
      <c r="AA180" s="72"/>
      <c r="AB180" s="72"/>
      <c r="AE180" s="97"/>
      <c r="AF180" s="97"/>
      <c r="AG180" s="97"/>
      <c r="AH180" s="96"/>
      <c r="AS180" s="72"/>
      <c r="AT180" s="72"/>
      <c r="AU180" s="72"/>
      <c r="AV180" s="72"/>
      <c r="AW180" s="72"/>
      <c r="AX180" s="72"/>
      <c r="AY180" s="72"/>
      <c r="AZ180" s="72"/>
      <c r="BA180" s="72"/>
      <c r="BD180" s="93"/>
      <c r="BE180" s="93"/>
      <c r="BF180" s="93"/>
      <c r="BG180" s="93">
        <f t="shared" si="67"/>
        <v>0</v>
      </c>
      <c r="BU180" s="72"/>
      <c r="BV180" s="72"/>
      <c r="BW180" s="72"/>
      <c r="BX180" s="72"/>
      <c r="BY180" s="72"/>
      <c r="BZ180" s="72"/>
      <c r="CA180" s="72"/>
      <c r="CB180" s="72"/>
      <c r="CE180" s="69"/>
      <c r="CF180" s="69"/>
      <c r="CG180" s="69"/>
      <c r="CH180" s="69"/>
      <c r="CI180" s="76"/>
      <c r="CJ180" s="76"/>
      <c r="CK180" s="177"/>
      <c r="CL180" s="76"/>
      <c r="CM180" s="76"/>
      <c r="CN180" s="71"/>
      <c r="CO180" s="71"/>
      <c r="CP180" s="71"/>
      <c r="CQ180" s="71"/>
      <c r="CR180" s="71"/>
      <c r="CS180" s="72"/>
      <c r="CT180" s="72"/>
      <c r="CU180" s="72"/>
      <c r="CV180" s="72"/>
      <c r="CW180" s="72"/>
      <c r="CX180" s="72"/>
      <c r="CY180" s="72"/>
      <c r="CZ180" s="72"/>
      <c r="DA180" s="168"/>
      <c r="DB180" s="67"/>
      <c r="DC180" s="69"/>
      <c r="DD180" s="69"/>
      <c r="DE180" s="69"/>
      <c r="DF180" s="69">
        <f t="shared" si="65"/>
        <v>0</v>
      </c>
      <c r="DG180" s="70"/>
      <c r="DH180" s="70"/>
      <c r="DI180" s="70"/>
      <c r="DJ180" s="177"/>
      <c r="DK180" s="70"/>
      <c r="DL180" s="70"/>
      <c r="DM180" s="70"/>
      <c r="DN180" s="71"/>
      <c r="DO180" s="71"/>
      <c r="DP180" s="71"/>
      <c r="DQ180" s="180"/>
      <c r="DR180" s="71"/>
      <c r="DS180" s="180"/>
      <c r="DT180" s="72"/>
      <c r="DU180" s="72"/>
      <c r="DV180" s="72"/>
      <c r="DW180" s="73"/>
      <c r="DX180" s="72"/>
      <c r="DY180" s="75"/>
      <c r="DZ180" s="168"/>
      <c r="EA180" s="74"/>
      <c r="EB180" s="78"/>
      <c r="EC180" s="78"/>
      <c r="ED180" s="78"/>
      <c r="EE180" s="78"/>
      <c r="EF180" s="79"/>
      <c r="EG180" s="66"/>
      <c r="EH180" s="66"/>
      <c r="EI180" s="66"/>
      <c r="EJ180" s="79"/>
      <c r="EK180" s="66"/>
      <c r="EL180" s="66"/>
      <c r="EM180" s="66"/>
      <c r="EN180" s="66"/>
      <c r="EO180" s="66"/>
      <c r="EP180" s="66"/>
    </row>
    <row r="181" spans="1:146" x14ac:dyDescent="0.3">
      <c r="A181" s="86">
        <v>44905</v>
      </c>
      <c r="B181" s="106">
        <f t="shared" si="63"/>
        <v>206</v>
      </c>
      <c r="C181" s="96"/>
      <c r="D181" s="93"/>
      <c r="E181" s="93"/>
      <c r="F181" s="96">
        <f t="shared" si="66"/>
        <v>0</v>
      </c>
      <c r="T181" s="72"/>
      <c r="U181" s="73"/>
      <c r="V181" s="73"/>
      <c r="W181" s="72"/>
      <c r="X181" s="72"/>
      <c r="Y181" s="72"/>
      <c r="Z181" s="72"/>
      <c r="AA181" s="72"/>
      <c r="AB181" s="72"/>
      <c r="AE181" s="97"/>
      <c r="AF181" s="97"/>
      <c r="AG181" s="97"/>
      <c r="AH181" s="96"/>
      <c r="AS181" s="72"/>
      <c r="AT181" s="72"/>
      <c r="AU181" s="72"/>
      <c r="AV181" s="72"/>
      <c r="AW181" s="72"/>
      <c r="AX181" s="72"/>
      <c r="AY181" s="72"/>
      <c r="AZ181" s="72"/>
      <c r="BA181" s="72"/>
      <c r="BD181" s="93"/>
      <c r="BE181" s="93"/>
      <c r="BF181" s="93"/>
      <c r="BG181" s="93">
        <f t="shared" si="67"/>
        <v>0</v>
      </c>
      <c r="BU181" s="72"/>
      <c r="BV181" s="72"/>
      <c r="BW181" s="72"/>
      <c r="BX181" s="72"/>
      <c r="BY181" s="72"/>
      <c r="BZ181" s="72"/>
      <c r="CA181" s="72"/>
      <c r="CB181" s="72"/>
      <c r="CE181" s="69"/>
      <c r="CF181" s="69"/>
      <c r="CG181" s="69"/>
      <c r="CH181" s="69"/>
      <c r="CI181" s="76"/>
      <c r="CJ181" s="76"/>
      <c r="CK181" s="177"/>
      <c r="CL181" s="76"/>
      <c r="CM181" s="76"/>
      <c r="CN181" s="71"/>
      <c r="CO181" s="71"/>
      <c r="CP181" s="71"/>
      <c r="CQ181" s="71"/>
      <c r="CR181" s="71"/>
      <c r="CS181" s="72"/>
      <c r="CT181" s="72"/>
      <c r="CU181" s="72"/>
      <c r="CV181" s="72"/>
      <c r="CW181" s="72"/>
      <c r="CX181" s="72"/>
      <c r="CY181" s="72"/>
      <c r="CZ181" s="72"/>
      <c r="DA181" s="168"/>
      <c r="DB181" s="67"/>
      <c r="DC181" s="69"/>
      <c r="DD181" s="69"/>
      <c r="DE181" s="69"/>
      <c r="DF181" s="69">
        <f t="shared" si="65"/>
        <v>0</v>
      </c>
      <c r="DG181" s="70"/>
      <c r="DH181" s="70"/>
      <c r="DI181" s="70"/>
      <c r="DJ181" s="177"/>
      <c r="DK181" s="70"/>
      <c r="DL181" s="70"/>
      <c r="DM181" s="70"/>
      <c r="DN181" s="71"/>
      <c r="DO181" s="71"/>
      <c r="DP181" s="71"/>
      <c r="DQ181" s="180"/>
      <c r="DR181" s="71"/>
      <c r="DS181" s="180"/>
      <c r="DT181" s="72"/>
      <c r="DU181" s="72"/>
      <c r="DV181" s="72"/>
      <c r="DW181" s="73"/>
      <c r="DX181" s="72"/>
      <c r="DY181" s="75"/>
      <c r="DZ181" s="168"/>
      <c r="EA181" s="74"/>
      <c r="EB181" s="78"/>
      <c r="EC181" s="78"/>
      <c r="ED181" s="78"/>
      <c r="EE181" s="78"/>
      <c r="EF181" s="79"/>
      <c r="EG181" s="66"/>
      <c r="EH181" s="66"/>
      <c r="EI181" s="66"/>
      <c r="EJ181" s="79"/>
      <c r="EK181" s="66"/>
      <c r="EL181" s="66"/>
      <c r="EM181" s="66"/>
      <c r="EN181" s="66"/>
      <c r="EO181" s="66"/>
      <c r="EP181" s="66"/>
    </row>
    <row r="182" spans="1:146" x14ac:dyDescent="0.3">
      <c r="A182" s="86">
        <v>44906</v>
      </c>
      <c r="B182" s="106">
        <f t="shared" si="63"/>
        <v>207</v>
      </c>
      <c r="C182" s="96"/>
      <c r="D182" s="93"/>
      <c r="E182" s="93"/>
      <c r="F182" s="96">
        <f t="shared" si="66"/>
        <v>0</v>
      </c>
      <c r="T182" s="72"/>
      <c r="U182" s="73"/>
      <c r="V182" s="73"/>
      <c r="W182" s="72"/>
      <c r="X182" s="72"/>
      <c r="Y182" s="72"/>
      <c r="Z182" s="72"/>
      <c r="AA182" s="72"/>
      <c r="AB182" s="72"/>
      <c r="AE182" s="97"/>
      <c r="AF182" s="97"/>
      <c r="AG182" s="97"/>
      <c r="AH182" s="96"/>
      <c r="AS182" s="72"/>
      <c r="AT182" s="72"/>
      <c r="AU182" s="72"/>
      <c r="AV182" s="72"/>
      <c r="AW182" s="72"/>
      <c r="AX182" s="72"/>
      <c r="AY182" s="72"/>
      <c r="AZ182" s="72"/>
      <c r="BA182" s="72"/>
      <c r="BD182" s="93"/>
      <c r="BE182" s="93"/>
      <c r="BF182" s="93"/>
      <c r="BG182" s="93">
        <f t="shared" si="67"/>
        <v>0</v>
      </c>
      <c r="BU182" s="72"/>
      <c r="BV182" s="72"/>
      <c r="BW182" s="72"/>
      <c r="BX182" s="72"/>
      <c r="BY182" s="72"/>
      <c r="BZ182" s="72"/>
      <c r="CA182" s="72"/>
      <c r="CB182" s="72"/>
      <c r="CE182" s="69"/>
      <c r="CF182" s="69"/>
      <c r="CG182" s="69"/>
      <c r="CH182" s="69"/>
      <c r="CI182" s="76"/>
      <c r="CJ182" s="76"/>
      <c r="CK182" s="177"/>
      <c r="CL182" s="76"/>
      <c r="CM182" s="76"/>
      <c r="CN182" s="71"/>
      <c r="CO182" s="71"/>
      <c r="CP182" s="71"/>
      <c r="CQ182" s="71"/>
      <c r="CR182" s="71"/>
      <c r="CS182" s="72"/>
      <c r="CT182" s="72"/>
      <c r="CU182" s="72"/>
      <c r="CV182" s="72"/>
      <c r="CW182" s="72"/>
      <c r="CX182" s="72"/>
      <c r="CY182" s="72"/>
      <c r="CZ182" s="72"/>
      <c r="DA182" s="168"/>
      <c r="DB182" s="67"/>
      <c r="DC182" s="69"/>
      <c r="DD182" s="69"/>
      <c r="DE182" s="69"/>
      <c r="DF182" s="69">
        <f t="shared" si="65"/>
        <v>0</v>
      </c>
      <c r="DG182" s="70"/>
      <c r="DH182" s="70"/>
      <c r="DI182" s="70"/>
      <c r="DJ182" s="177"/>
      <c r="DK182" s="70"/>
      <c r="DL182" s="70"/>
      <c r="DM182" s="70"/>
      <c r="DN182" s="71"/>
      <c r="DO182" s="71"/>
      <c r="DP182" s="71"/>
      <c r="DQ182" s="180"/>
      <c r="DR182" s="71"/>
      <c r="DS182" s="180"/>
      <c r="DT182" s="72"/>
      <c r="DU182" s="72"/>
      <c r="DV182" s="72"/>
      <c r="DW182" s="73"/>
      <c r="DX182" s="72"/>
      <c r="DY182" s="75"/>
      <c r="DZ182" s="168"/>
      <c r="EA182" s="74"/>
      <c r="EB182" s="78"/>
      <c r="EC182" s="78"/>
      <c r="ED182" s="78"/>
      <c r="EE182" s="78"/>
      <c r="EF182" s="79"/>
      <c r="EG182" s="66"/>
      <c r="EH182" s="66"/>
      <c r="EI182" s="66"/>
      <c r="EJ182" s="79"/>
      <c r="EK182" s="66"/>
      <c r="EL182" s="66"/>
      <c r="EM182" s="66"/>
      <c r="EN182" s="66"/>
      <c r="EO182" s="66"/>
      <c r="EP182" s="66"/>
    </row>
    <row r="183" spans="1:146" x14ac:dyDescent="0.3">
      <c r="A183" s="86">
        <v>44907</v>
      </c>
      <c r="B183" s="106">
        <f t="shared" si="63"/>
        <v>208</v>
      </c>
      <c r="C183" s="96"/>
      <c r="D183" s="93"/>
      <c r="E183" s="93"/>
      <c r="F183" s="96">
        <f t="shared" si="66"/>
        <v>0</v>
      </c>
      <c r="T183" s="72"/>
      <c r="U183" s="73"/>
      <c r="V183" s="73"/>
      <c r="W183" s="72"/>
      <c r="X183" s="72"/>
      <c r="Y183" s="72"/>
      <c r="Z183" s="72"/>
      <c r="AA183" s="72"/>
      <c r="AB183" s="72"/>
      <c r="AE183" s="97"/>
      <c r="AF183" s="97"/>
      <c r="AG183" s="97"/>
      <c r="AH183" s="96"/>
      <c r="AS183" s="72"/>
      <c r="AT183" s="72"/>
      <c r="AU183" s="72"/>
      <c r="AV183" s="72"/>
      <c r="AW183" s="72"/>
      <c r="AX183" s="72"/>
      <c r="AY183" s="72"/>
      <c r="AZ183" s="72"/>
      <c r="BA183" s="72"/>
      <c r="BD183" s="93"/>
      <c r="BE183" s="93"/>
      <c r="BF183" s="93"/>
      <c r="BG183" s="93">
        <f t="shared" si="67"/>
        <v>0</v>
      </c>
      <c r="BU183" s="72"/>
      <c r="BV183" s="72"/>
      <c r="BW183" s="72"/>
      <c r="BX183" s="72"/>
      <c r="BY183" s="72"/>
      <c r="BZ183" s="72"/>
      <c r="CA183" s="72"/>
      <c r="CB183" s="72"/>
      <c r="CE183" s="69"/>
      <c r="CF183" s="69"/>
      <c r="CG183" s="69"/>
      <c r="CH183" s="69"/>
      <c r="CI183" s="76"/>
      <c r="CJ183" s="76"/>
      <c r="CK183" s="177"/>
      <c r="CL183" s="76"/>
      <c r="CM183" s="76"/>
      <c r="CN183" s="71"/>
      <c r="CO183" s="71"/>
      <c r="CP183" s="71"/>
      <c r="CQ183" s="71"/>
      <c r="CR183" s="71"/>
      <c r="CS183" s="72"/>
      <c r="CT183" s="72"/>
      <c r="CU183" s="72"/>
      <c r="CV183" s="72"/>
      <c r="CW183" s="72"/>
      <c r="CX183" s="72"/>
      <c r="CY183" s="72"/>
      <c r="CZ183" s="72"/>
      <c r="DA183" s="168"/>
      <c r="DB183" s="67"/>
      <c r="DC183" s="69"/>
      <c r="DD183" s="69"/>
      <c r="DE183" s="69"/>
      <c r="DF183" s="69">
        <f t="shared" si="65"/>
        <v>0</v>
      </c>
      <c r="DG183" s="70"/>
      <c r="DH183" s="70"/>
      <c r="DI183" s="70"/>
      <c r="DJ183" s="177"/>
      <c r="DK183" s="70"/>
      <c r="DL183" s="70"/>
      <c r="DM183" s="70"/>
      <c r="DN183" s="71"/>
      <c r="DO183" s="71"/>
      <c r="DP183" s="71"/>
      <c r="DQ183" s="180"/>
      <c r="DR183" s="71"/>
      <c r="DS183" s="180"/>
      <c r="DT183" s="72"/>
      <c r="DU183" s="72"/>
      <c r="DV183" s="72"/>
      <c r="DW183" s="73"/>
      <c r="DX183" s="72"/>
      <c r="DY183" s="75"/>
      <c r="DZ183" s="168"/>
      <c r="EA183" s="74"/>
      <c r="EB183" s="78"/>
      <c r="EC183" s="78"/>
      <c r="ED183" s="78"/>
      <c r="EE183" s="78"/>
      <c r="EF183" s="79"/>
      <c r="EG183" s="66"/>
      <c r="EH183" s="66"/>
      <c r="EI183" s="66"/>
      <c r="EJ183" s="79"/>
      <c r="EK183" s="66"/>
      <c r="EL183" s="66"/>
      <c r="EM183" s="66"/>
      <c r="EN183" s="66"/>
      <c r="EO183" s="66"/>
      <c r="EP183" s="66"/>
    </row>
    <row r="184" spans="1:146" x14ac:dyDescent="0.3">
      <c r="A184" s="86">
        <v>44908</v>
      </c>
      <c r="B184" s="106">
        <f t="shared" si="63"/>
        <v>209</v>
      </c>
      <c r="C184" s="96"/>
      <c r="D184" s="93"/>
      <c r="E184" s="93"/>
      <c r="F184" s="96">
        <f t="shared" si="66"/>
        <v>0</v>
      </c>
      <c r="T184" s="72"/>
      <c r="U184" s="73"/>
      <c r="V184" s="73"/>
      <c r="W184" s="72"/>
      <c r="X184" s="72"/>
      <c r="Y184" s="72"/>
      <c r="Z184" s="72"/>
      <c r="AA184" s="72"/>
      <c r="AB184" s="72"/>
      <c r="AE184" s="97"/>
      <c r="AF184" s="97"/>
      <c r="AG184" s="97"/>
      <c r="AH184" s="96"/>
      <c r="AS184" s="72"/>
      <c r="AT184" s="72"/>
      <c r="AU184" s="72"/>
      <c r="AV184" s="72"/>
      <c r="AW184" s="72"/>
      <c r="AX184" s="72"/>
      <c r="AY184" s="72"/>
      <c r="AZ184" s="72"/>
      <c r="BA184" s="72"/>
      <c r="BD184" s="93"/>
      <c r="BE184" s="93"/>
      <c r="BF184" s="93"/>
      <c r="BG184" s="93">
        <f t="shared" si="67"/>
        <v>0</v>
      </c>
      <c r="BU184" s="72"/>
      <c r="BV184" s="72"/>
      <c r="BW184" s="72"/>
      <c r="BX184" s="72"/>
      <c r="BY184" s="72"/>
      <c r="BZ184" s="72"/>
      <c r="CA184" s="72"/>
      <c r="CB184" s="72"/>
      <c r="CE184" s="69"/>
      <c r="CF184" s="69"/>
      <c r="CG184" s="69"/>
      <c r="CH184" s="69"/>
      <c r="CI184" s="76"/>
      <c r="CJ184" s="76"/>
      <c r="CK184" s="177"/>
      <c r="CL184" s="76"/>
      <c r="CM184" s="76"/>
      <c r="CN184" s="71"/>
      <c r="CO184" s="71"/>
      <c r="CP184" s="71"/>
      <c r="CQ184" s="71"/>
      <c r="CR184" s="71"/>
      <c r="CS184" s="72"/>
      <c r="CT184" s="72"/>
      <c r="CU184" s="72"/>
      <c r="CV184" s="72"/>
      <c r="CW184" s="72"/>
      <c r="CX184" s="72"/>
      <c r="CY184" s="72"/>
      <c r="CZ184" s="72"/>
      <c r="DA184" s="168"/>
      <c r="DB184" s="67"/>
      <c r="DC184" s="69"/>
      <c r="DD184" s="69"/>
      <c r="DE184" s="69"/>
      <c r="DF184" s="69">
        <f t="shared" si="65"/>
        <v>0</v>
      </c>
      <c r="DG184" s="70"/>
      <c r="DH184" s="70"/>
      <c r="DI184" s="70"/>
      <c r="DJ184" s="177"/>
      <c r="DK184" s="70"/>
      <c r="DL184" s="70"/>
      <c r="DM184" s="70"/>
      <c r="DN184" s="71"/>
      <c r="DO184" s="71"/>
      <c r="DP184" s="71"/>
      <c r="DQ184" s="180"/>
      <c r="DR184" s="71"/>
      <c r="DS184" s="180"/>
      <c r="DT184" s="72"/>
      <c r="DU184" s="72"/>
      <c r="DV184" s="72"/>
      <c r="DW184" s="73"/>
      <c r="DX184" s="72"/>
      <c r="DY184" s="75"/>
      <c r="DZ184" s="168"/>
      <c r="EA184" s="74"/>
      <c r="EB184" s="78"/>
      <c r="EC184" s="78"/>
      <c r="ED184" s="78"/>
      <c r="EE184" s="78"/>
      <c r="EF184" s="79"/>
      <c r="EG184" s="66"/>
      <c r="EH184" s="66"/>
      <c r="EI184" s="66"/>
      <c r="EJ184" s="79"/>
      <c r="EK184" s="66"/>
      <c r="EL184" s="66"/>
      <c r="EM184" s="66"/>
      <c r="EN184" s="66"/>
      <c r="EO184" s="66"/>
      <c r="EP184" s="66"/>
    </row>
    <row r="185" spans="1:146" x14ac:dyDescent="0.3">
      <c r="A185" s="86">
        <v>44909</v>
      </c>
      <c r="B185" s="106">
        <f t="shared" si="63"/>
        <v>210</v>
      </c>
      <c r="C185" s="96"/>
      <c r="D185" s="93"/>
      <c r="E185" s="93"/>
      <c r="F185" s="96">
        <f t="shared" si="66"/>
        <v>0</v>
      </c>
      <c r="T185" s="72"/>
      <c r="U185" s="73"/>
      <c r="V185" s="73"/>
      <c r="W185" s="72"/>
      <c r="X185" s="72"/>
      <c r="Y185" s="72"/>
      <c r="Z185" s="72"/>
      <c r="AA185" s="72"/>
      <c r="AB185" s="72"/>
      <c r="AE185" s="97"/>
      <c r="AF185" s="97"/>
      <c r="AG185" s="97"/>
      <c r="AH185" s="96"/>
      <c r="AS185" s="72"/>
      <c r="AT185" s="72"/>
      <c r="AU185" s="72"/>
      <c r="AV185" s="72"/>
      <c r="AW185" s="72"/>
      <c r="AX185" s="72"/>
      <c r="AY185" s="72"/>
      <c r="AZ185" s="72"/>
      <c r="BA185" s="72"/>
      <c r="BD185" s="93"/>
      <c r="BE185" s="93"/>
      <c r="BF185" s="93"/>
      <c r="BG185" s="93">
        <f t="shared" si="67"/>
        <v>0</v>
      </c>
      <c r="BU185" s="72"/>
      <c r="BV185" s="72"/>
      <c r="BW185" s="72"/>
      <c r="BX185" s="72"/>
      <c r="BY185" s="72"/>
      <c r="BZ185" s="72"/>
      <c r="CA185" s="72"/>
      <c r="CB185" s="72"/>
      <c r="CE185" s="69"/>
      <c r="CF185" s="69"/>
      <c r="CG185" s="69"/>
      <c r="CH185" s="69"/>
      <c r="CI185" s="76"/>
      <c r="CJ185" s="76"/>
      <c r="CK185" s="177"/>
      <c r="CL185" s="76"/>
      <c r="CM185" s="76"/>
      <c r="CN185" s="71"/>
      <c r="CO185" s="71"/>
      <c r="CP185" s="71"/>
      <c r="CQ185" s="71"/>
      <c r="CR185" s="71"/>
      <c r="CS185" s="72"/>
      <c r="CT185" s="72"/>
      <c r="CU185" s="72"/>
      <c r="CV185" s="72"/>
      <c r="CW185" s="72"/>
      <c r="CX185" s="72"/>
      <c r="CY185" s="72"/>
      <c r="CZ185" s="72"/>
      <c r="DA185" s="168"/>
      <c r="DB185" s="67"/>
      <c r="DC185" s="69"/>
      <c r="DD185" s="69"/>
      <c r="DE185" s="69"/>
      <c r="DF185" s="69">
        <f t="shared" si="65"/>
        <v>0</v>
      </c>
      <c r="DG185" s="70"/>
      <c r="DH185" s="70"/>
      <c r="DI185" s="70"/>
      <c r="DJ185" s="177"/>
      <c r="DK185" s="70"/>
      <c r="DL185" s="70"/>
      <c r="DM185" s="70"/>
      <c r="DN185" s="71"/>
      <c r="DO185" s="71"/>
      <c r="DP185" s="71"/>
      <c r="DQ185" s="180"/>
      <c r="DR185" s="71"/>
      <c r="DS185" s="180"/>
      <c r="DT185" s="72"/>
      <c r="DU185" s="72"/>
      <c r="DV185" s="72"/>
      <c r="DW185" s="73"/>
      <c r="DX185" s="72"/>
      <c r="DY185" s="75"/>
      <c r="DZ185" s="168"/>
      <c r="EA185" s="74"/>
      <c r="EB185" s="78"/>
      <c r="EC185" s="78"/>
      <c r="ED185" s="78"/>
      <c r="EE185" s="78"/>
      <c r="EF185" s="79"/>
      <c r="EG185" s="66"/>
      <c r="EH185" s="66"/>
      <c r="EI185" s="66"/>
      <c r="EJ185" s="79"/>
      <c r="EK185" s="66"/>
      <c r="EL185" s="66"/>
      <c r="EM185" s="66"/>
      <c r="EN185" s="66"/>
      <c r="EO185" s="66"/>
      <c r="EP185" s="66"/>
    </row>
    <row r="186" spans="1:146" x14ac:dyDescent="0.3">
      <c r="A186" s="86">
        <v>44910</v>
      </c>
      <c r="B186" s="106">
        <f t="shared" si="63"/>
        <v>211</v>
      </c>
      <c r="C186" s="96"/>
      <c r="D186" s="93"/>
      <c r="E186" s="93"/>
      <c r="F186" s="96">
        <f t="shared" si="66"/>
        <v>0</v>
      </c>
      <c r="T186" s="72"/>
      <c r="U186" s="73"/>
      <c r="V186" s="73"/>
      <c r="W186" s="72"/>
      <c r="X186" s="72"/>
      <c r="Y186" s="72"/>
      <c r="Z186" s="72"/>
      <c r="AA186" s="72"/>
      <c r="AB186" s="72"/>
      <c r="AE186" s="97"/>
      <c r="AF186" s="97"/>
      <c r="AG186" s="97"/>
      <c r="AH186" s="96"/>
      <c r="AS186" s="72"/>
      <c r="AT186" s="72"/>
      <c r="AU186" s="72"/>
      <c r="AV186" s="72"/>
      <c r="AW186" s="72"/>
      <c r="AX186" s="72"/>
      <c r="AY186" s="72"/>
      <c r="AZ186" s="72"/>
      <c r="BA186" s="72"/>
      <c r="BD186" s="93"/>
      <c r="BE186" s="93"/>
      <c r="BF186" s="93"/>
      <c r="BG186" s="93">
        <f t="shared" si="67"/>
        <v>0</v>
      </c>
      <c r="BU186" s="72"/>
      <c r="BV186" s="72"/>
      <c r="BW186" s="72"/>
      <c r="BX186" s="72"/>
      <c r="BY186" s="72"/>
      <c r="BZ186" s="72"/>
      <c r="CA186" s="72"/>
      <c r="CB186" s="72"/>
      <c r="CE186" s="69"/>
      <c r="CF186" s="69"/>
      <c r="CG186" s="69"/>
      <c r="CH186" s="69"/>
      <c r="CI186" s="76"/>
      <c r="CJ186" s="76"/>
      <c r="CK186" s="177"/>
      <c r="CL186" s="76"/>
      <c r="CM186" s="76"/>
      <c r="CN186" s="71"/>
      <c r="CO186" s="71"/>
      <c r="CP186" s="71"/>
      <c r="CQ186" s="71"/>
      <c r="CR186" s="71"/>
      <c r="CS186" s="72"/>
      <c r="CT186" s="72"/>
      <c r="CU186" s="72"/>
      <c r="CV186" s="72"/>
      <c r="CW186" s="72"/>
      <c r="CX186" s="72"/>
      <c r="CY186" s="72"/>
      <c r="CZ186" s="72"/>
      <c r="DA186" s="168"/>
      <c r="DB186" s="67"/>
      <c r="DC186" s="69"/>
      <c r="DD186" s="69"/>
      <c r="DE186" s="69"/>
      <c r="DF186" s="69">
        <f t="shared" si="65"/>
        <v>0</v>
      </c>
      <c r="DG186" s="70"/>
      <c r="DH186" s="70"/>
      <c r="DI186" s="70"/>
      <c r="DJ186" s="177"/>
      <c r="DK186" s="70"/>
      <c r="DL186" s="70"/>
      <c r="DM186" s="70"/>
      <c r="DN186" s="71"/>
      <c r="DO186" s="71"/>
      <c r="DP186" s="71"/>
      <c r="DQ186" s="180"/>
      <c r="DR186" s="71"/>
      <c r="DS186" s="180"/>
      <c r="DT186" s="72"/>
      <c r="DU186" s="72"/>
      <c r="DV186" s="72"/>
      <c r="DW186" s="73"/>
      <c r="DX186" s="72"/>
      <c r="DY186" s="75"/>
      <c r="DZ186" s="168"/>
      <c r="EA186" s="74"/>
      <c r="EB186" s="78"/>
      <c r="EC186" s="78"/>
      <c r="ED186" s="78"/>
      <c r="EE186" s="78"/>
      <c r="EF186" s="79"/>
      <c r="EG186" s="66"/>
      <c r="EH186" s="66"/>
      <c r="EI186" s="66"/>
      <c r="EJ186" s="79"/>
      <c r="EK186" s="66"/>
      <c r="EL186" s="66"/>
      <c r="EM186" s="66"/>
      <c r="EN186" s="66"/>
      <c r="EO186" s="66"/>
      <c r="EP186" s="66"/>
    </row>
    <row r="187" spans="1:146" x14ac:dyDescent="0.3">
      <c r="A187" s="86">
        <v>44911</v>
      </c>
      <c r="B187" s="106">
        <f t="shared" si="63"/>
        <v>212</v>
      </c>
      <c r="C187" s="96"/>
      <c r="D187" s="93"/>
      <c r="E187" s="93"/>
      <c r="F187" s="96">
        <f t="shared" si="66"/>
        <v>0</v>
      </c>
      <c r="T187" s="72"/>
      <c r="U187" s="73"/>
      <c r="V187" s="73"/>
      <c r="W187" s="72"/>
      <c r="X187" s="72"/>
      <c r="Y187" s="72"/>
      <c r="Z187" s="72"/>
      <c r="AA187" s="72"/>
      <c r="AB187" s="72"/>
      <c r="AE187" s="97"/>
      <c r="AF187" s="97"/>
      <c r="AG187" s="97"/>
      <c r="AH187" s="96"/>
      <c r="AS187" s="72"/>
      <c r="AT187" s="72"/>
      <c r="AU187" s="72"/>
      <c r="AV187" s="72"/>
      <c r="AW187" s="72"/>
      <c r="AX187" s="72"/>
      <c r="AY187" s="72"/>
      <c r="AZ187" s="72"/>
      <c r="BA187" s="72"/>
      <c r="BD187" s="93"/>
      <c r="BE187" s="93"/>
      <c r="BF187" s="93"/>
      <c r="BG187" s="93">
        <f t="shared" si="67"/>
        <v>0</v>
      </c>
      <c r="BU187" s="72"/>
      <c r="BV187" s="72"/>
      <c r="BW187" s="72"/>
      <c r="BX187" s="72"/>
      <c r="BY187" s="72"/>
      <c r="BZ187" s="72"/>
      <c r="CA187" s="72"/>
      <c r="CB187" s="72"/>
      <c r="CE187" s="69"/>
      <c r="CF187" s="69"/>
      <c r="CG187" s="69"/>
      <c r="CH187" s="69"/>
      <c r="CI187" s="76"/>
      <c r="CJ187" s="76"/>
      <c r="CK187" s="177"/>
      <c r="CL187" s="76"/>
      <c r="CM187" s="76"/>
      <c r="CN187" s="71"/>
      <c r="CO187" s="71"/>
      <c r="CP187" s="71"/>
      <c r="CQ187" s="71"/>
      <c r="CR187" s="71"/>
      <c r="CS187" s="72"/>
      <c r="CT187" s="72"/>
      <c r="CU187" s="72"/>
      <c r="CV187" s="72"/>
      <c r="CW187" s="72"/>
      <c r="CX187" s="72"/>
      <c r="CY187" s="72"/>
      <c r="CZ187" s="72"/>
      <c r="DA187" s="168"/>
      <c r="DB187" s="67"/>
      <c r="DC187" s="69"/>
      <c r="DD187" s="69"/>
      <c r="DE187" s="69"/>
      <c r="DF187" s="69">
        <f t="shared" si="65"/>
        <v>0</v>
      </c>
      <c r="DG187" s="70"/>
      <c r="DH187" s="70"/>
      <c r="DI187" s="70"/>
      <c r="DJ187" s="177"/>
      <c r="DK187" s="70"/>
      <c r="DL187" s="70"/>
      <c r="DM187" s="70"/>
      <c r="DN187" s="71"/>
      <c r="DO187" s="71"/>
      <c r="DP187" s="71"/>
      <c r="DQ187" s="180"/>
      <c r="DR187" s="71"/>
      <c r="DS187" s="180"/>
      <c r="DT187" s="72"/>
      <c r="DU187" s="72"/>
      <c r="DV187" s="72"/>
      <c r="DW187" s="73"/>
      <c r="DX187" s="72"/>
      <c r="DY187" s="75"/>
      <c r="DZ187" s="168"/>
      <c r="EA187" s="74"/>
      <c r="EB187" s="78"/>
      <c r="EC187" s="78"/>
      <c r="ED187" s="78"/>
      <c r="EE187" s="78"/>
      <c r="EF187" s="79"/>
      <c r="EG187" s="66"/>
      <c r="EH187" s="66"/>
      <c r="EI187" s="66"/>
      <c r="EJ187" s="79"/>
      <c r="EK187" s="66"/>
      <c r="EL187" s="66"/>
      <c r="EM187" s="66"/>
      <c r="EN187" s="66"/>
      <c r="EO187" s="66"/>
      <c r="EP187" s="66"/>
    </row>
    <row r="188" spans="1:146" x14ac:dyDescent="0.3">
      <c r="A188" s="86">
        <v>44912</v>
      </c>
      <c r="B188" s="106">
        <f t="shared" si="63"/>
        <v>213</v>
      </c>
      <c r="C188" s="96"/>
      <c r="D188" s="93"/>
      <c r="E188" s="93"/>
      <c r="F188" s="96">
        <f t="shared" si="66"/>
        <v>0</v>
      </c>
      <c r="T188" s="72"/>
      <c r="U188" s="73"/>
      <c r="V188" s="73"/>
      <c r="W188" s="72"/>
      <c r="X188" s="72"/>
      <c r="Y188" s="72"/>
      <c r="Z188" s="72"/>
      <c r="AA188" s="72"/>
      <c r="AB188" s="72"/>
      <c r="AE188" s="97"/>
      <c r="AF188" s="97"/>
      <c r="AG188" s="97"/>
      <c r="AH188" s="96"/>
      <c r="AS188" s="72"/>
      <c r="AT188" s="72"/>
      <c r="AU188" s="72"/>
      <c r="AV188" s="72"/>
      <c r="AW188" s="72"/>
      <c r="AX188" s="72"/>
      <c r="AY188" s="72"/>
      <c r="AZ188" s="72"/>
      <c r="BA188" s="72"/>
      <c r="BD188" s="93"/>
      <c r="BE188" s="93"/>
      <c r="BF188" s="93"/>
      <c r="BG188" s="93">
        <f t="shared" si="67"/>
        <v>0</v>
      </c>
      <c r="BU188" s="72"/>
      <c r="BV188" s="72"/>
      <c r="BW188" s="72"/>
      <c r="BX188" s="72"/>
      <c r="BY188" s="72"/>
      <c r="BZ188" s="72"/>
      <c r="CA188" s="72"/>
      <c r="CB188" s="72"/>
      <c r="CE188" s="69"/>
      <c r="CF188" s="69"/>
      <c r="CG188" s="69"/>
      <c r="CH188" s="69"/>
      <c r="CI188" s="76"/>
      <c r="CJ188" s="76"/>
      <c r="CK188" s="177"/>
      <c r="CL188" s="76"/>
      <c r="CM188" s="76"/>
      <c r="CN188" s="71"/>
      <c r="CO188" s="71"/>
      <c r="CP188" s="71"/>
      <c r="CQ188" s="71"/>
      <c r="CR188" s="71"/>
      <c r="CS188" s="72"/>
      <c r="CT188" s="72"/>
      <c r="CU188" s="72"/>
      <c r="CV188" s="72"/>
      <c r="CW188" s="72"/>
      <c r="CX188" s="72"/>
      <c r="CY188" s="72"/>
      <c r="CZ188" s="72"/>
      <c r="DA188" s="168"/>
      <c r="DB188" s="67"/>
      <c r="DC188" s="69"/>
      <c r="DD188" s="69"/>
      <c r="DE188" s="69"/>
      <c r="DF188" s="69">
        <f t="shared" si="65"/>
        <v>0</v>
      </c>
      <c r="DG188" s="70"/>
      <c r="DH188" s="70"/>
      <c r="DI188" s="70"/>
      <c r="DJ188" s="177"/>
      <c r="DK188" s="70"/>
      <c r="DL188" s="70"/>
      <c r="DM188" s="70"/>
      <c r="DN188" s="71"/>
      <c r="DO188" s="71"/>
      <c r="DP188" s="71"/>
      <c r="DQ188" s="180"/>
      <c r="DR188" s="71"/>
      <c r="DS188" s="180"/>
      <c r="DT188" s="72"/>
      <c r="DU188" s="72"/>
      <c r="DV188" s="72"/>
      <c r="DW188" s="73"/>
      <c r="DX188" s="72"/>
      <c r="DY188" s="75"/>
      <c r="DZ188" s="168"/>
      <c r="EA188" s="74"/>
      <c r="EB188" s="78"/>
      <c r="EC188" s="78"/>
      <c r="ED188" s="78"/>
      <c r="EE188" s="78"/>
      <c r="EF188" s="79"/>
      <c r="EG188" s="66"/>
      <c r="EH188" s="66"/>
      <c r="EI188" s="66"/>
      <c r="EJ188" s="79"/>
      <c r="EK188" s="66"/>
      <c r="EL188" s="66"/>
      <c r="EM188" s="66"/>
      <c r="EN188" s="66"/>
      <c r="EO188" s="66"/>
      <c r="EP188" s="66"/>
    </row>
    <row r="189" spans="1:146" x14ac:dyDescent="0.3">
      <c r="A189" s="86">
        <v>44913</v>
      </c>
      <c r="B189" s="106">
        <f t="shared" si="63"/>
        <v>214</v>
      </c>
      <c r="C189" s="96"/>
      <c r="D189" s="93"/>
      <c r="E189" s="93"/>
      <c r="F189" s="96">
        <f t="shared" si="66"/>
        <v>0</v>
      </c>
      <c r="T189" s="72"/>
      <c r="U189" s="73"/>
      <c r="V189" s="73"/>
      <c r="W189" s="72"/>
      <c r="X189" s="72"/>
      <c r="Y189" s="72"/>
      <c r="Z189" s="72"/>
      <c r="AA189" s="72"/>
      <c r="AB189" s="72"/>
      <c r="AE189" s="97"/>
      <c r="AF189" s="97"/>
      <c r="AG189" s="97"/>
      <c r="AH189" s="96"/>
      <c r="AS189" s="72"/>
      <c r="AT189" s="72"/>
      <c r="AU189" s="72"/>
      <c r="AV189" s="72"/>
      <c r="AW189" s="72"/>
      <c r="AX189" s="72"/>
      <c r="AY189" s="72"/>
      <c r="AZ189" s="72"/>
      <c r="BA189" s="72"/>
      <c r="BD189" s="93"/>
      <c r="BE189" s="93"/>
      <c r="BF189" s="93"/>
      <c r="BG189" s="93">
        <f t="shared" si="67"/>
        <v>0</v>
      </c>
      <c r="BU189" s="72"/>
      <c r="BV189" s="72"/>
      <c r="BW189" s="72"/>
      <c r="BX189" s="72"/>
      <c r="BY189" s="72"/>
      <c r="BZ189" s="72"/>
      <c r="CA189" s="72"/>
      <c r="CB189" s="72"/>
      <c r="CE189" s="69"/>
      <c r="CF189" s="69"/>
      <c r="CG189" s="69"/>
      <c r="CH189" s="69"/>
      <c r="CI189" s="76"/>
      <c r="CJ189" s="76"/>
      <c r="CK189" s="177"/>
      <c r="CL189" s="76"/>
      <c r="CM189" s="76"/>
      <c r="CN189" s="71"/>
      <c r="CO189" s="71"/>
      <c r="CP189" s="71"/>
      <c r="CQ189" s="71"/>
      <c r="CR189" s="71"/>
      <c r="CS189" s="72"/>
      <c r="CT189" s="72"/>
      <c r="CU189" s="72"/>
      <c r="CV189" s="72"/>
      <c r="CW189" s="72"/>
      <c r="CX189" s="72"/>
      <c r="CY189" s="72"/>
      <c r="CZ189" s="72"/>
      <c r="DA189" s="168"/>
      <c r="DB189" s="67"/>
      <c r="DC189" s="69"/>
      <c r="DD189" s="69"/>
      <c r="DE189" s="69"/>
      <c r="DF189" s="69">
        <f t="shared" si="65"/>
        <v>0</v>
      </c>
      <c r="DG189" s="70"/>
      <c r="DH189" s="70"/>
      <c r="DI189" s="70"/>
      <c r="DJ189" s="177"/>
      <c r="DK189" s="70"/>
      <c r="DL189" s="70"/>
      <c r="DM189" s="70"/>
      <c r="DN189" s="71"/>
      <c r="DO189" s="71"/>
      <c r="DP189" s="71"/>
      <c r="DQ189" s="180"/>
      <c r="DR189" s="71"/>
      <c r="DS189" s="180"/>
      <c r="DT189" s="72"/>
      <c r="DU189" s="72"/>
      <c r="DV189" s="72"/>
      <c r="DW189" s="73"/>
      <c r="DX189" s="72"/>
      <c r="DY189" s="75"/>
      <c r="DZ189" s="168"/>
      <c r="EA189" s="74"/>
      <c r="EB189" s="78"/>
      <c r="EC189" s="78"/>
      <c r="ED189" s="78"/>
      <c r="EE189" s="78"/>
      <c r="EF189" s="79"/>
      <c r="EG189" s="66"/>
      <c r="EH189" s="66"/>
      <c r="EI189" s="66"/>
      <c r="EJ189" s="79"/>
      <c r="EK189" s="66"/>
      <c r="EL189" s="66"/>
      <c r="EM189" s="66"/>
      <c r="EN189" s="66"/>
      <c r="EO189" s="66"/>
      <c r="EP189" s="66"/>
    </row>
    <row r="190" spans="1:146" x14ac:dyDescent="0.3">
      <c r="A190" s="86">
        <v>44914</v>
      </c>
      <c r="B190" s="106">
        <f t="shared" si="63"/>
        <v>215</v>
      </c>
      <c r="C190" s="96"/>
      <c r="D190" s="93"/>
      <c r="E190" s="93"/>
      <c r="F190" s="96">
        <f t="shared" si="66"/>
        <v>0</v>
      </c>
      <c r="T190" s="72"/>
      <c r="U190" s="73"/>
      <c r="V190" s="73"/>
      <c r="W190" s="72"/>
      <c r="X190" s="72"/>
      <c r="Y190" s="72"/>
      <c r="Z190" s="72"/>
      <c r="AA190" s="72"/>
      <c r="AB190" s="72"/>
      <c r="AE190" s="97"/>
      <c r="AF190" s="97"/>
      <c r="AG190" s="97"/>
      <c r="AH190" s="96"/>
      <c r="AS190" s="72"/>
      <c r="AT190" s="72"/>
      <c r="AU190" s="72"/>
      <c r="AV190" s="72"/>
      <c r="AW190" s="72"/>
      <c r="AX190" s="72"/>
      <c r="AY190" s="72"/>
      <c r="AZ190" s="72"/>
      <c r="BA190" s="72"/>
      <c r="BD190" s="93"/>
      <c r="BE190" s="93"/>
      <c r="BF190" s="93"/>
      <c r="BG190" s="93">
        <f t="shared" si="67"/>
        <v>0</v>
      </c>
      <c r="BU190" s="72"/>
      <c r="BV190" s="72"/>
      <c r="BW190" s="72"/>
      <c r="BX190" s="72"/>
      <c r="BY190" s="72"/>
      <c r="BZ190" s="72"/>
      <c r="CA190" s="72"/>
      <c r="CB190" s="72"/>
      <c r="CE190" s="69"/>
      <c r="CF190" s="69"/>
      <c r="CG190" s="69"/>
      <c r="CH190" s="69"/>
      <c r="CI190" s="76"/>
      <c r="CJ190" s="76"/>
      <c r="CK190" s="177"/>
      <c r="CL190" s="76"/>
      <c r="CM190" s="76"/>
      <c r="CN190" s="71"/>
      <c r="CO190" s="71"/>
      <c r="CP190" s="71"/>
      <c r="CQ190" s="71"/>
      <c r="CR190" s="71"/>
      <c r="CS190" s="72"/>
      <c r="CT190" s="72"/>
      <c r="CU190" s="72"/>
      <c r="CV190" s="72"/>
      <c r="CW190" s="72"/>
      <c r="CX190" s="72"/>
      <c r="CY190" s="72"/>
      <c r="CZ190" s="72"/>
      <c r="DA190" s="168"/>
      <c r="DB190" s="67"/>
      <c r="DC190" s="69"/>
      <c r="DD190" s="69"/>
      <c r="DE190" s="69"/>
      <c r="DF190" s="69">
        <f t="shared" si="65"/>
        <v>0</v>
      </c>
      <c r="DG190" s="70"/>
      <c r="DH190" s="70"/>
      <c r="DI190" s="70"/>
      <c r="DJ190" s="177"/>
      <c r="DK190" s="70"/>
      <c r="DL190" s="70"/>
      <c r="DM190" s="70"/>
      <c r="DN190" s="71"/>
      <c r="DO190" s="71"/>
      <c r="DP190" s="71"/>
      <c r="DQ190" s="180"/>
      <c r="DR190" s="71"/>
      <c r="DS190" s="180"/>
      <c r="DT190" s="72"/>
      <c r="DU190" s="72"/>
      <c r="DV190" s="72"/>
      <c r="DW190" s="73"/>
      <c r="DX190" s="72"/>
      <c r="DY190" s="75"/>
      <c r="DZ190" s="168"/>
      <c r="EA190" s="74"/>
      <c r="EB190" s="78"/>
      <c r="EC190" s="78"/>
      <c r="ED190" s="78"/>
      <c r="EE190" s="78"/>
      <c r="EF190" s="79"/>
      <c r="EG190" s="66"/>
      <c r="EH190" s="66"/>
      <c r="EI190" s="66"/>
      <c r="EJ190" s="79"/>
      <c r="EK190" s="66"/>
      <c r="EL190" s="66"/>
      <c r="EM190" s="66"/>
      <c r="EN190" s="66"/>
      <c r="EO190" s="66"/>
      <c r="EP190" s="66"/>
    </row>
    <row r="191" spans="1:146" x14ac:dyDescent="0.3">
      <c r="A191" s="86">
        <v>44915</v>
      </c>
      <c r="B191" s="106">
        <f t="shared" si="63"/>
        <v>216</v>
      </c>
      <c r="C191" s="96">
        <v>313.09153713298792</v>
      </c>
      <c r="D191" s="93">
        <v>67.39655615523003</v>
      </c>
      <c r="E191" s="93">
        <v>75.643697478991598</v>
      </c>
      <c r="F191" s="96">
        <f t="shared" si="66"/>
        <v>245.69498097775789</v>
      </c>
      <c r="T191" s="72"/>
      <c r="U191" s="73"/>
      <c r="V191" s="73"/>
      <c r="W191" s="72"/>
      <c r="X191" s="72"/>
      <c r="Y191" s="72"/>
      <c r="Z191" s="72"/>
      <c r="AA191" s="72"/>
      <c r="AB191" s="72"/>
      <c r="AE191" s="97"/>
      <c r="AF191" s="97"/>
      <c r="AG191" s="97"/>
      <c r="AH191" s="96"/>
      <c r="AS191" s="72"/>
      <c r="AT191" s="72"/>
      <c r="AU191" s="72"/>
      <c r="AV191" s="72"/>
      <c r="AW191" s="72"/>
      <c r="AX191" s="72"/>
      <c r="AY191" s="72"/>
      <c r="AZ191" s="72"/>
      <c r="BA191" s="72"/>
      <c r="BD191" s="93">
        <v>143.89341228719468</v>
      </c>
      <c r="BE191" s="93">
        <v>118.87946543305065</v>
      </c>
      <c r="BF191" s="93">
        <v>76.12773109243696</v>
      </c>
      <c r="BG191" s="93">
        <f t="shared" si="67"/>
        <v>25.013946854144024</v>
      </c>
      <c r="BU191" s="72"/>
      <c r="BV191" s="72"/>
      <c r="BW191" s="72"/>
      <c r="BX191" s="72"/>
      <c r="BY191" s="72"/>
      <c r="BZ191" s="72"/>
      <c r="CA191" s="72"/>
      <c r="CB191" s="72"/>
      <c r="CE191" s="69"/>
      <c r="CF191" s="69"/>
      <c r="CG191" s="69"/>
      <c r="CH191" s="69"/>
      <c r="CI191" s="76"/>
      <c r="CJ191" s="76"/>
      <c r="CK191" s="177"/>
      <c r="CL191" s="76"/>
      <c r="CM191" s="76"/>
      <c r="CN191" s="71"/>
      <c r="CO191" s="71"/>
      <c r="CP191" s="71"/>
      <c r="CQ191" s="71"/>
      <c r="CR191" s="71"/>
      <c r="CS191" s="72"/>
      <c r="CT191" s="72"/>
      <c r="CU191" s="72"/>
      <c r="CV191" s="72"/>
      <c r="CW191" s="72"/>
      <c r="CX191" s="72"/>
      <c r="CY191" s="72"/>
      <c r="CZ191" s="72"/>
      <c r="DA191" s="168"/>
      <c r="DB191" s="67"/>
      <c r="DC191" s="69">
        <v>12.34641006661732</v>
      </c>
      <c r="DD191" s="69">
        <v>5.4536108969416608</v>
      </c>
      <c r="DE191" s="69">
        <v>89.277310924369743</v>
      </c>
      <c r="DF191" s="69">
        <f t="shared" si="65"/>
        <v>6.8927991696756594</v>
      </c>
      <c r="DG191" s="70"/>
      <c r="DH191" s="70"/>
      <c r="DI191" s="70"/>
      <c r="DJ191" s="177"/>
      <c r="DK191" s="70"/>
      <c r="DL191" s="70"/>
      <c r="DM191" s="70"/>
      <c r="DN191" s="71"/>
      <c r="DO191" s="71"/>
      <c r="DP191" s="71"/>
      <c r="DQ191" s="180"/>
      <c r="DR191" s="71"/>
      <c r="DS191" s="180"/>
      <c r="DT191" s="72"/>
      <c r="DU191" s="72"/>
      <c r="DV191" s="72"/>
      <c r="DW191" s="73"/>
      <c r="DX191" s="72"/>
      <c r="DY191" s="75"/>
      <c r="DZ191" s="168"/>
      <c r="EA191" s="74"/>
      <c r="EB191" s="78"/>
      <c r="EC191" s="78"/>
      <c r="ED191" s="78"/>
      <c r="EE191" s="78"/>
      <c r="EF191" s="79"/>
      <c r="EG191" s="66"/>
      <c r="EH191" s="66"/>
      <c r="EI191" s="66"/>
      <c r="EJ191" s="79"/>
      <c r="EK191" s="66"/>
      <c r="EL191" s="66"/>
      <c r="EM191" s="66"/>
      <c r="EN191" s="66"/>
      <c r="EO191" s="66"/>
      <c r="EP191" s="66"/>
    </row>
    <row r="192" spans="1:146" x14ac:dyDescent="0.3">
      <c r="A192" s="86">
        <v>44922</v>
      </c>
      <c r="B192" s="106" t="e">
        <f>A192-#REF!+#REF!</f>
        <v>#REF!</v>
      </c>
      <c r="C192" s="96"/>
      <c r="D192" s="93"/>
      <c r="E192" s="93"/>
      <c r="F192" s="96">
        <f t="shared" si="66"/>
        <v>0</v>
      </c>
      <c r="T192" s="72"/>
      <c r="U192" s="73"/>
      <c r="V192" s="73"/>
      <c r="W192" s="72"/>
      <c r="X192" s="72"/>
      <c r="Y192" s="72"/>
      <c r="Z192" s="72"/>
      <c r="AA192" s="72"/>
      <c r="AB192" s="72"/>
      <c r="AE192" s="97"/>
      <c r="AF192" s="97"/>
      <c r="AG192" s="97"/>
      <c r="AH192" s="96"/>
      <c r="AS192" s="72"/>
      <c r="AT192" s="72"/>
      <c r="AU192" s="72"/>
      <c r="AV192" s="72"/>
      <c r="AW192" s="72"/>
      <c r="AX192" s="72"/>
      <c r="AY192" s="72"/>
      <c r="AZ192" s="72"/>
      <c r="BA192" s="72"/>
      <c r="BD192" s="93"/>
      <c r="BE192" s="93"/>
      <c r="BF192" s="93"/>
      <c r="BG192" s="93">
        <f t="shared" si="67"/>
        <v>0</v>
      </c>
      <c r="BU192" s="72"/>
      <c r="BV192" s="72"/>
      <c r="BW192" s="72"/>
      <c r="BX192" s="72"/>
      <c r="BY192" s="72"/>
      <c r="BZ192" s="72"/>
      <c r="CA192" s="72"/>
      <c r="CB192" s="72"/>
      <c r="CE192" s="69"/>
      <c r="CF192" s="69"/>
      <c r="CG192" s="69"/>
      <c r="CH192" s="69"/>
      <c r="CI192" s="76"/>
      <c r="CJ192" s="76"/>
      <c r="CK192" s="177"/>
      <c r="CL192" s="76"/>
      <c r="CM192" s="76"/>
      <c r="CN192" s="71"/>
      <c r="CO192" s="71"/>
      <c r="CP192" s="71"/>
      <c r="CQ192" s="71"/>
      <c r="CR192" s="71"/>
      <c r="CS192" s="72"/>
      <c r="CT192" s="72"/>
      <c r="CU192" s="72"/>
      <c r="CV192" s="72"/>
      <c r="CW192" s="72"/>
      <c r="CX192" s="72"/>
      <c r="CY192" s="72"/>
      <c r="CZ192" s="72"/>
      <c r="DA192" s="168"/>
      <c r="DB192" s="67"/>
      <c r="DC192" s="69"/>
      <c r="DD192" s="69"/>
      <c r="DE192" s="69"/>
      <c r="DF192" s="69">
        <f t="shared" si="65"/>
        <v>0</v>
      </c>
      <c r="DG192" s="70"/>
      <c r="DH192" s="70"/>
      <c r="DI192" s="70"/>
      <c r="DJ192" s="177"/>
      <c r="DK192" s="70"/>
      <c r="DL192" s="70"/>
      <c r="DM192" s="70"/>
      <c r="DN192" s="71"/>
      <c r="DO192" s="71"/>
      <c r="DP192" s="71"/>
      <c r="DQ192" s="180"/>
      <c r="DR192" s="71"/>
      <c r="DS192" s="180"/>
      <c r="DT192" s="72"/>
      <c r="DU192" s="72"/>
      <c r="DV192" s="72"/>
      <c r="DW192" s="73"/>
      <c r="DX192" s="72"/>
      <c r="DY192" s="75"/>
      <c r="DZ192" s="168"/>
      <c r="EA192" s="74"/>
      <c r="EB192" s="78"/>
      <c r="EC192" s="78"/>
      <c r="ED192" s="78"/>
      <c r="EE192" s="78"/>
      <c r="EF192" s="79"/>
      <c r="EG192" s="66"/>
      <c r="EH192" s="66"/>
      <c r="EI192" s="66"/>
      <c r="EJ192" s="79"/>
      <c r="EK192" s="66"/>
      <c r="EL192" s="66"/>
      <c r="EM192" s="66"/>
      <c r="EN192" s="66"/>
      <c r="EO192" s="66"/>
      <c r="EP192" s="66"/>
    </row>
    <row r="193" spans="1:146" x14ac:dyDescent="0.3">
      <c r="A193" s="86"/>
      <c r="B193" s="86"/>
      <c r="C193" s="96"/>
      <c r="D193" s="93"/>
      <c r="E193" s="93"/>
      <c r="F193" s="96"/>
      <c r="T193" s="72"/>
      <c r="U193" s="73"/>
      <c r="V193" s="73"/>
      <c r="W193" s="72"/>
      <c r="X193" s="72"/>
      <c r="Y193" s="72"/>
      <c r="Z193" s="72"/>
      <c r="AA193" s="72"/>
      <c r="AB193" s="72"/>
      <c r="AE193" s="97"/>
      <c r="AF193" s="97"/>
      <c r="AG193" s="97"/>
      <c r="AH193" s="96"/>
      <c r="AS193" s="72"/>
      <c r="AT193" s="75"/>
      <c r="AU193" s="75"/>
      <c r="AV193" s="75"/>
      <c r="AW193" s="75"/>
      <c r="AX193" s="72"/>
      <c r="AY193" s="72"/>
      <c r="AZ193" s="72"/>
      <c r="BA193" s="72"/>
      <c r="BD193" s="93"/>
      <c r="BE193" s="93"/>
      <c r="BF193" s="93"/>
      <c r="BG193" s="93"/>
      <c r="BU193" s="72"/>
      <c r="BV193" s="72">
        <v>15.054502589456021</v>
      </c>
      <c r="BW193" s="72">
        <v>18.192316784554436</v>
      </c>
      <c r="BX193" s="72"/>
      <c r="BY193" s="72"/>
      <c r="BZ193" s="72"/>
      <c r="CA193" s="72"/>
      <c r="CB193" s="72"/>
      <c r="CE193" s="69"/>
      <c r="CF193" s="69"/>
      <c r="CG193" s="69"/>
      <c r="CH193" s="69"/>
      <c r="CI193" s="76"/>
      <c r="CJ193" s="76"/>
      <c r="CK193" s="177"/>
      <c r="CL193" s="76"/>
      <c r="CM193" s="76"/>
      <c r="CN193" s="71"/>
      <c r="CO193" s="71"/>
      <c r="CP193" s="71"/>
      <c r="CQ193" s="71"/>
      <c r="CR193" s="71"/>
      <c r="CS193" s="66"/>
      <c r="CT193" s="66"/>
      <c r="CU193" s="66"/>
      <c r="CV193" s="66"/>
      <c r="CW193" s="66"/>
      <c r="CX193" s="66"/>
      <c r="CY193" s="66"/>
      <c r="CZ193" s="66"/>
      <c r="DA193" s="168"/>
      <c r="DB193" s="67"/>
      <c r="DC193" s="69"/>
      <c r="DD193" s="69"/>
      <c r="DE193" s="69"/>
      <c r="DF193" s="69"/>
      <c r="DG193" s="70"/>
      <c r="DH193" s="70"/>
      <c r="DI193" s="70"/>
      <c r="DJ193" s="177"/>
      <c r="DK193" s="70"/>
      <c r="DL193" s="70"/>
      <c r="DM193" s="70"/>
      <c r="DN193" s="71"/>
      <c r="DO193" s="71"/>
      <c r="DP193" s="71"/>
      <c r="DQ193" s="180"/>
      <c r="DR193" s="71"/>
      <c r="DS193" s="180"/>
      <c r="DT193" s="66"/>
      <c r="DU193" s="79"/>
      <c r="DV193" s="79"/>
      <c r="DW193" s="119"/>
      <c r="DX193" s="79"/>
      <c r="DY193" s="136"/>
      <c r="DZ193" s="168"/>
      <c r="EA193" s="74"/>
      <c r="EB193" s="78"/>
      <c r="EC193" s="78"/>
      <c r="ED193" s="78"/>
      <c r="EE193" s="78"/>
      <c r="EF193" s="79"/>
      <c r="EG193" s="66"/>
      <c r="EH193" s="66"/>
      <c r="EI193" s="66"/>
      <c r="EJ193" s="79"/>
      <c r="EK193" s="66"/>
      <c r="EL193" s="66"/>
      <c r="EM193" s="66"/>
      <c r="EN193" s="66"/>
      <c r="EO193" s="66"/>
      <c r="EP193" s="66"/>
    </row>
    <row r="194" spans="1:146" x14ac:dyDescent="0.3">
      <c r="A194" s="86"/>
      <c r="B194" s="86"/>
      <c r="C194" s="96"/>
      <c r="D194" s="93"/>
      <c r="E194" s="93"/>
      <c r="F194" s="96"/>
      <c r="T194" s="72"/>
      <c r="U194" s="73"/>
      <c r="V194" s="73"/>
      <c r="W194" s="72"/>
      <c r="X194" s="72"/>
      <c r="Y194" s="72"/>
      <c r="Z194" s="72"/>
      <c r="AA194" s="72"/>
      <c r="AB194" s="72"/>
      <c r="AE194" s="97"/>
      <c r="AF194" s="97"/>
      <c r="AG194" s="97"/>
      <c r="AH194" s="96"/>
      <c r="AS194" s="72"/>
      <c r="AT194" s="75"/>
      <c r="AU194" s="75"/>
      <c r="AV194" s="75"/>
      <c r="AW194" s="75"/>
      <c r="AX194" s="72"/>
      <c r="AY194" s="72"/>
      <c r="AZ194" s="72"/>
      <c r="BA194" s="72"/>
      <c r="BD194" s="93"/>
      <c r="BE194" s="93"/>
      <c r="BF194" s="93"/>
      <c r="BG194" s="93"/>
      <c r="BU194" s="72"/>
      <c r="BV194" s="72"/>
      <c r="BW194" s="72"/>
      <c r="BX194" s="72"/>
      <c r="BY194" s="72"/>
      <c r="BZ194" s="72"/>
      <c r="CA194" s="72"/>
      <c r="CB194" s="72"/>
      <c r="CE194" s="69"/>
      <c r="CF194" s="69"/>
      <c r="CG194" s="69"/>
      <c r="CH194" s="69"/>
      <c r="CI194" s="76"/>
      <c r="CJ194" s="76"/>
      <c r="CK194" s="177"/>
      <c r="CL194" s="76"/>
      <c r="CM194" s="76"/>
      <c r="CN194" s="71"/>
      <c r="CO194" s="71"/>
      <c r="CP194" s="71"/>
      <c r="CQ194" s="71"/>
      <c r="CR194" s="71"/>
      <c r="CS194" s="66"/>
      <c r="CT194" s="66"/>
      <c r="CU194" s="66"/>
      <c r="CV194" s="66"/>
      <c r="CW194" s="66"/>
      <c r="CX194" s="66"/>
      <c r="CY194" s="66"/>
      <c r="CZ194" s="66"/>
      <c r="DA194" s="168"/>
      <c r="DB194" s="67"/>
      <c r="DC194" s="69"/>
      <c r="DD194" s="69"/>
      <c r="DE194" s="69"/>
      <c r="DF194" s="69"/>
      <c r="DG194" s="70"/>
      <c r="DH194" s="70"/>
      <c r="DI194" s="70"/>
      <c r="DJ194" s="177"/>
      <c r="DK194" s="177"/>
      <c r="DL194" s="70"/>
      <c r="DM194" s="70"/>
      <c r="DN194" s="71"/>
      <c r="DO194" s="71"/>
      <c r="DP194" s="71"/>
      <c r="DQ194" s="180"/>
      <c r="DR194" s="71"/>
      <c r="DS194" s="180"/>
      <c r="DT194" s="66"/>
      <c r="DU194" s="79"/>
      <c r="DV194" s="79"/>
      <c r="DW194" s="119"/>
      <c r="DX194" s="79"/>
      <c r="DY194" s="136"/>
      <c r="DZ194" s="168"/>
      <c r="EA194" s="74"/>
      <c r="EB194" s="78"/>
      <c r="EC194" s="78"/>
      <c r="ED194" s="78"/>
      <c r="EE194" s="78"/>
      <c r="EF194" s="79"/>
      <c r="EG194" s="66"/>
      <c r="EH194" s="66"/>
      <c r="EI194" s="66"/>
      <c r="EJ194" s="79"/>
      <c r="EK194" s="66"/>
      <c r="EL194" s="66"/>
      <c r="EM194" s="66"/>
      <c r="EN194" s="66"/>
      <c r="EO194" s="66"/>
      <c r="EP194" s="66"/>
    </row>
    <row r="195" spans="1:146" x14ac:dyDescent="0.3">
      <c r="T195" s="72"/>
      <c r="U195" s="73"/>
      <c r="V195" s="73"/>
      <c r="W195" s="72"/>
      <c r="X195" s="72"/>
      <c r="Y195" s="72"/>
      <c r="Z195" s="72"/>
      <c r="AA195" s="72"/>
      <c r="AB195" s="72"/>
      <c r="AE195" s="97"/>
      <c r="AF195" s="97"/>
      <c r="AG195" s="97"/>
      <c r="AS195" s="72"/>
      <c r="AT195" s="75"/>
      <c r="AU195" s="75"/>
      <c r="AV195" s="75"/>
      <c r="AW195" s="75"/>
      <c r="AX195" s="72"/>
      <c r="AY195" s="72"/>
      <c r="AZ195" s="72"/>
      <c r="BA195" s="72"/>
      <c r="BG195" s="88"/>
      <c r="BU195" s="72"/>
      <c r="BV195" s="72"/>
      <c r="BW195" s="72"/>
      <c r="BX195" s="72"/>
      <c r="BY195" s="72"/>
      <c r="BZ195" s="72"/>
      <c r="CA195" s="72"/>
      <c r="CB195" s="72"/>
      <c r="CE195" s="69"/>
      <c r="CF195" s="69"/>
      <c r="CG195" s="69"/>
      <c r="CH195" s="69"/>
      <c r="CI195" s="76"/>
      <c r="CJ195" s="76"/>
      <c r="CK195" s="177"/>
      <c r="CL195" s="70"/>
      <c r="CM195" s="76"/>
      <c r="CN195" s="71"/>
      <c r="CO195" s="71"/>
      <c r="CP195" s="71"/>
      <c r="CQ195" s="71"/>
      <c r="CR195" s="71"/>
      <c r="CS195" s="66"/>
      <c r="CT195" s="66"/>
      <c r="CU195" s="66"/>
      <c r="CV195" s="66"/>
      <c r="CW195" s="66"/>
      <c r="CX195" s="66"/>
      <c r="CY195" s="66"/>
      <c r="CZ195" s="66"/>
      <c r="DA195" s="168"/>
      <c r="DB195" s="67"/>
      <c r="DC195" s="69"/>
      <c r="DD195" s="69"/>
      <c r="DE195" s="69"/>
      <c r="DF195" s="69"/>
      <c r="DG195" s="70"/>
      <c r="DH195" s="70"/>
      <c r="DI195" s="70"/>
      <c r="DJ195" s="177"/>
      <c r="DK195" s="177"/>
      <c r="DL195" s="70"/>
      <c r="DM195" s="70"/>
      <c r="DN195" s="71"/>
      <c r="DO195" s="71"/>
      <c r="DP195" s="180"/>
      <c r="DQ195" s="180"/>
      <c r="DR195" s="71"/>
      <c r="DS195" s="180"/>
      <c r="DT195" s="66"/>
      <c r="DU195" s="79"/>
      <c r="DV195" s="79"/>
      <c r="DW195" s="119"/>
      <c r="DX195" s="79"/>
      <c r="DY195" s="136"/>
      <c r="DZ195" s="168"/>
      <c r="EA195" s="74"/>
      <c r="EB195" s="78"/>
      <c r="EC195" s="78"/>
      <c r="ED195" s="78"/>
      <c r="EE195" s="78"/>
      <c r="EF195" s="79"/>
      <c r="EG195" s="66"/>
      <c r="EH195" s="66"/>
      <c r="EI195" s="66"/>
      <c r="EJ195" s="79"/>
      <c r="EK195" s="66"/>
      <c r="EL195" s="66"/>
      <c r="EM195" s="66"/>
      <c r="EN195" s="66"/>
      <c r="EO195" s="66"/>
      <c r="EP195" s="66"/>
    </row>
    <row r="196" spans="1:146" x14ac:dyDescent="0.3">
      <c r="A196" s="52" t="s">
        <v>26</v>
      </c>
      <c r="C196" s="69">
        <f>AVERAGE(C96:C154)</f>
        <v>204.81024084389176</v>
      </c>
      <c r="D196" s="69">
        <f t="shared" ref="D196:BO196" si="68">AVERAGE(D96:D154)</f>
        <v>49.347547667770186</v>
      </c>
      <c r="E196" s="69">
        <f t="shared" si="68"/>
        <v>22.639614323086217</v>
      </c>
      <c r="F196" s="69">
        <f t="shared" si="68"/>
        <v>155.4626931761216</v>
      </c>
      <c r="G196" s="70">
        <f t="shared" si="68"/>
        <v>50.476210810810805</v>
      </c>
      <c r="H196" s="70">
        <f t="shared" si="68"/>
        <v>0.127</v>
      </c>
      <c r="I196" s="70">
        <f t="shared" si="68"/>
        <v>3.8667287779005792E-2</v>
      </c>
      <c r="J196" s="70">
        <f t="shared" si="68"/>
        <v>0.29985091739130432</v>
      </c>
      <c r="K196" s="70">
        <f t="shared" si="68"/>
        <v>6.2987445883255805E-2</v>
      </c>
      <c r="L196" s="70">
        <f t="shared" si="68"/>
        <v>6.1664823076923057</v>
      </c>
      <c r="M196" s="70">
        <f t="shared" si="68"/>
        <v>39.52533404255319</v>
      </c>
      <c r="N196" s="71">
        <f t="shared" si="68"/>
        <v>62.797982121212115</v>
      </c>
      <c r="O196" s="71">
        <f t="shared" si="68"/>
        <v>48.761497461845323</v>
      </c>
      <c r="P196" s="71">
        <f t="shared" si="68"/>
        <v>79.188557142857135</v>
      </c>
      <c r="Q196" s="71">
        <f t="shared" si="68"/>
        <v>19.420285714285715</v>
      </c>
      <c r="R196" s="71">
        <f t="shared" si="68"/>
        <v>3.8328928571428578</v>
      </c>
      <c r="S196" s="71">
        <f t="shared" si="68"/>
        <v>27.510278571428575</v>
      </c>
      <c r="T196" s="72">
        <f t="shared" si="68"/>
        <v>52.5</v>
      </c>
      <c r="U196" s="72">
        <f t="shared" si="68"/>
        <v>450.79166666666669</v>
      </c>
      <c r="V196" s="72">
        <f t="shared" si="68"/>
        <v>869.75</v>
      </c>
      <c r="W196" s="72">
        <f t="shared" si="68"/>
        <v>552.78253286205779</v>
      </c>
      <c r="X196" s="72">
        <f t="shared" si="68"/>
        <v>66.666666666666671</v>
      </c>
      <c r="Y196" s="72">
        <f t="shared" si="68"/>
        <v>79.5</v>
      </c>
      <c r="Z196" s="72">
        <f t="shared" si="68"/>
        <v>4.9375</v>
      </c>
      <c r="AA196" s="72">
        <f t="shared" si="68"/>
        <v>5.3283333333333331</v>
      </c>
      <c r="AB196" s="72">
        <f t="shared" si="68"/>
        <v>14.4</v>
      </c>
      <c r="AC196" s="168">
        <f t="shared" si="68"/>
        <v>251.73023333333336</v>
      </c>
      <c r="AD196" s="74">
        <f t="shared" si="68"/>
        <v>6.8537500000000007</v>
      </c>
      <c r="AE196" s="69">
        <f t="shared" si="68"/>
        <v>123.79514646875374</v>
      </c>
      <c r="AF196" s="69">
        <f t="shared" si="68"/>
        <v>127.87455820974273</v>
      </c>
      <c r="AG196" s="69">
        <f t="shared" si="68"/>
        <v>15.03245312692388</v>
      </c>
      <c r="AH196" s="69">
        <f t="shared" si="68"/>
        <v>-1.4770283889787827</v>
      </c>
      <c r="AI196" s="70">
        <f t="shared" si="68"/>
        <v>49.726780000000005</v>
      </c>
      <c r="AJ196" s="70" t="e">
        <f t="shared" si="68"/>
        <v>#DIV/0!</v>
      </c>
      <c r="AK196" s="70">
        <f t="shared" si="68"/>
        <v>0.18068173529411763</v>
      </c>
      <c r="AL196" s="70">
        <f t="shared" si="68"/>
        <v>17.031317499999997</v>
      </c>
      <c r="AM196" s="70">
        <f t="shared" si="68"/>
        <v>4.5638823529411772</v>
      </c>
      <c r="AN196" s="71">
        <f t="shared" si="68"/>
        <v>114.53915470588235</v>
      </c>
      <c r="AO196" s="71">
        <f t="shared" si="68"/>
        <v>51.834471428571426</v>
      </c>
      <c r="AP196" s="71">
        <f t="shared" si="68"/>
        <v>22.312985714285713</v>
      </c>
      <c r="AQ196" s="71">
        <f t="shared" si="68"/>
        <v>5.0874571428571418</v>
      </c>
      <c r="AR196" s="71">
        <f t="shared" si="68"/>
        <v>75.529771428571422</v>
      </c>
      <c r="AS196" s="72" t="e">
        <f t="shared" si="68"/>
        <v>#DIV/0!</v>
      </c>
      <c r="AT196" s="75">
        <f t="shared" si="68"/>
        <v>206.58333333333334</v>
      </c>
      <c r="AU196" s="75">
        <f t="shared" si="68"/>
        <v>2870</v>
      </c>
      <c r="AV196" s="75">
        <f t="shared" si="68"/>
        <v>229.69263351206689</v>
      </c>
      <c r="AW196" s="75" t="e">
        <f t="shared" si="68"/>
        <v>#DIV/0!</v>
      </c>
      <c r="AX196" s="72">
        <f t="shared" si="68"/>
        <v>39.5</v>
      </c>
      <c r="AY196" s="72">
        <f t="shared" si="68"/>
        <v>128</v>
      </c>
      <c r="AZ196" s="72">
        <f t="shared" si="68"/>
        <v>22.774999999999999</v>
      </c>
      <c r="BA196" s="72">
        <f t="shared" si="68"/>
        <v>26</v>
      </c>
      <c r="BB196" s="168">
        <f t="shared" si="68"/>
        <v>723.39265833333354</v>
      </c>
      <c r="BC196" s="74">
        <f t="shared" si="68"/>
        <v>6.8909433962264153</v>
      </c>
      <c r="BD196" s="69">
        <f t="shared" si="68"/>
        <v>123.66839197004664</v>
      </c>
      <c r="BE196" s="69">
        <f t="shared" si="68"/>
        <v>116.51331180961631</v>
      </c>
      <c r="BF196" s="69">
        <f t="shared" si="68"/>
        <v>21.118591109375679</v>
      </c>
      <c r="BG196" s="88">
        <f t="shared" si="68"/>
        <v>7.155080160430324</v>
      </c>
      <c r="BH196" s="70">
        <f t="shared" si="68"/>
        <v>48.989150000000009</v>
      </c>
      <c r="BI196" s="70" t="e">
        <f t="shared" si="68"/>
        <v>#DIV/0!</v>
      </c>
      <c r="BJ196" s="70" t="e">
        <f t="shared" si="68"/>
        <v>#DIV/0!</v>
      </c>
      <c r="BK196" s="70">
        <f t="shared" si="68"/>
        <v>0.18611921071428572</v>
      </c>
      <c r="BL196" s="70">
        <f t="shared" si="68"/>
        <v>4.2044329700357146E-2</v>
      </c>
      <c r="BM196" s="70">
        <f t="shared" si="68"/>
        <v>17.408421599999997</v>
      </c>
      <c r="BN196" s="70">
        <f t="shared" si="68"/>
        <v>4.21121956521739</v>
      </c>
      <c r="BO196" s="71">
        <f t="shared" si="68"/>
        <v>96.986052424242402</v>
      </c>
      <c r="BP196" s="71">
        <f t="shared" ref="BP196:EA196" si="69">AVERAGE(BP96:BP154)</f>
        <v>61.78536564533411</v>
      </c>
      <c r="BQ196" s="71">
        <f t="shared" si="69"/>
        <v>62.604764285714289</v>
      </c>
      <c r="BR196" s="71">
        <f t="shared" si="69"/>
        <v>21.561428571428571</v>
      </c>
      <c r="BS196" s="71">
        <f t="shared" si="69"/>
        <v>4.4139000000000008</v>
      </c>
      <c r="BT196" s="71">
        <f t="shared" si="69"/>
        <v>86.806164285714289</v>
      </c>
      <c r="BU196" s="72">
        <f t="shared" si="69"/>
        <v>64</v>
      </c>
      <c r="BV196" s="72">
        <f t="shared" si="69"/>
        <v>123.53111111111112</v>
      </c>
      <c r="BW196" s="72">
        <f t="shared" si="69"/>
        <v>199.25</v>
      </c>
      <c r="BX196" s="72">
        <f t="shared" si="69"/>
        <v>174.87414014207269</v>
      </c>
      <c r="BY196" s="72">
        <f t="shared" si="69"/>
        <v>58</v>
      </c>
      <c r="BZ196" s="72">
        <f t="shared" si="69"/>
        <v>80.5</v>
      </c>
      <c r="CA196" s="72">
        <f t="shared" si="69"/>
        <v>8.7149999999999999</v>
      </c>
      <c r="CB196" s="72">
        <f t="shared" si="69"/>
        <v>24.4</v>
      </c>
      <c r="CC196" s="168">
        <f t="shared" si="69"/>
        <v>396.48993333333328</v>
      </c>
      <c r="CD196" s="74">
        <f t="shared" si="69"/>
        <v>6.8935185185185164</v>
      </c>
      <c r="CE196" s="69">
        <f t="shared" si="69"/>
        <v>50.495835322661478</v>
      </c>
      <c r="CF196" s="69">
        <f t="shared" si="69"/>
        <v>16.802060523680158</v>
      </c>
      <c r="CG196" s="69">
        <f t="shared" si="69"/>
        <v>79.985179358278245</v>
      </c>
      <c r="CH196" s="69">
        <f t="shared" si="69"/>
        <v>3.3693774798981324</v>
      </c>
      <c r="CI196" s="76">
        <f t="shared" si="69"/>
        <v>57.881714285714288</v>
      </c>
      <c r="CJ196" s="76">
        <f t="shared" si="69"/>
        <v>3.5430428571428574</v>
      </c>
      <c r="CK196" s="177">
        <f t="shared" si="69"/>
        <v>313.49102222222223</v>
      </c>
      <c r="CL196" s="70">
        <f t="shared" si="69"/>
        <v>13.088372500000002</v>
      </c>
      <c r="CM196" s="76">
        <f t="shared" si="69"/>
        <v>29.27927142857143</v>
      </c>
      <c r="CN196" s="77">
        <f t="shared" si="69"/>
        <v>5.189631125</v>
      </c>
      <c r="CO196" s="77">
        <f t="shared" si="69"/>
        <v>56.55744285714286</v>
      </c>
      <c r="CP196" s="77">
        <f t="shared" si="69"/>
        <v>25.229328571428571</v>
      </c>
      <c r="CQ196" s="77">
        <f t="shared" si="69"/>
        <v>5.7971571428571425</v>
      </c>
      <c r="CR196" s="77">
        <f t="shared" si="69"/>
        <v>117.61979999999998</v>
      </c>
      <c r="CS196" s="66" t="e">
        <f t="shared" si="69"/>
        <v>#DIV/0!</v>
      </c>
      <c r="CT196" s="66" t="e">
        <f t="shared" si="69"/>
        <v>#DIV/0!</v>
      </c>
      <c r="CU196" s="66" t="e">
        <f t="shared" si="69"/>
        <v>#DIV/0!</v>
      </c>
      <c r="CV196" s="66" t="e">
        <f t="shared" si="69"/>
        <v>#DIV/0!</v>
      </c>
      <c r="CW196" s="66" t="e">
        <f t="shared" si="69"/>
        <v>#DIV/0!</v>
      </c>
      <c r="CX196" s="66">
        <f t="shared" si="69"/>
        <v>199</v>
      </c>
      <c r="CY196" s="66">
        <f t="shared" si="69"/>
        <v>15.987500000000001</v>
      </c>
      <c r="CZ196" s="66">
        <f t="shared" si="69"/>
        <v>45</v>
      </c>
      <c r="DA196" s="168">
        <f t="shared" si="69"/>
        <v>56.244871000000003</v>
      </c>
      <c r="DB196" s="67">
        <f t="shared" si="69"/>
        <v>7.0427777777777791</v>
      </c>
      <c r="DC196" s="69">
        <f t="shared" si="69"/>
        <v>26.507745069172117</v>
      </c>
      <c r="DD196" s="69">
        <f t="shared" si="69"/>
        <v>13.233302701551452</v>
      </c>
      <c r="DE196" s="69">
        <f t="shared" si="69"/>
        <v>78.209712397745989</v>
      </c>
      <c r="DF196" s="69">
        <f t="shared" si="69"/>
        <v>13.274442367620667</v>
      </c>
      <c r="DG196" s="70">
        <f t="shared" si="69"/>
        <v>56.421022222222227</v>
      </c>
      <c r="DH196" s="70">
        <f t="shared" si="69"/>
        <v>0.43631818181818183</v>
      </c>
      <c r="DI196" s="70">
        <f t="shared" si="69"/>
        <v>0.13284441495729299</v>
      </c>
      <c r="DJ196" s="177">
        <f t="shared" si="69"/>
        <v>372.38202432432428</v>
      </c>
      <c r="DK196" s="177">
        <f t="shared" si="69"/>
        <v>84.121099294864848</v>
      </c>
      <c r="DL196" s="70">
        <f t="shared" si="69"/>
        <v>11.632260555555556</v>
      </c>
      <c r="DM196" s="70">
        <f t="shared" si="69"/>
        <v>55.004559459459465</v>
      </c>
      <c r="DN196" s="71">
        <f t="shared" si="69"/>
        <v>1.9451027208333331</v>
      </c>
      <c r="DO196" s="71">
        <f t="shared" si="69"/>
        <v>1.5103370869763273</v>
      </c>
      <c r="DP196" s="180">
        <f t="shared" si="69"/>
        <v>68.128192857142864</v>
      </c>
      <c r="DQ196" s="180">
        <f t="shared" si="69"/>
        <v>23.565657142857145</v>
      </c>
      <c r="DR196" s="71">
        <f t="shared" si="69"/>
        <v>5.0262285714285708</v>
      </c>
      <c r="DS196" s="180">
        <f t="shared" si="69"/>
        <v>121.27167857142857</v>
      </c>
      <c r="DT196" s="66">
        <f t="shared" si="69"/>
        <v>0.1</v>
      </c>
      <c r="DU196" s="79">
        <f t="shared" si="69"/>
        <v>35.974999999999994</v>
      </c>
      <c r="DV196" s="79">
        <f t="shared" si="69"/>
        <v>40.302954120959434</v>
      </c>
      <c r="DW196" s="119">
        <f t="shared" si="69"/>
        <v>87</v>
      </c>
      <c r="DX196" s="79">
        <f t="shared" si="69"/>
        <v>5.0633333333333335</v>
      </c>
      <c r="DY196" s="136">
        <f t="shared" si="69"/>
        <v>16.2</v>
      </c>
      <c r="DZ196" s="168">
        <f t="shared" si="69"/>
        <v>17.99568</v>
      </c>
      <c r="EA196" s="74">
        <f t="shared" si="69"/>
        <v>7.0686111111111112</v>
      </c>
      <c r="EB196" s="78">
        <f t="shared" ref="EB196:EP196" si="70">AVERAGE(EB96:EB154)</f>
        <v>38.747336971819706</v>
      </c>
      <c r="EC196" s="78">
        <f t="shared" si="70"/>
        <v>-149.45831668431481</v>
      </c>
      <c r="ED196" s="78" t="e">
        <f t="shared" si="70"/>
        <v>#DIV/0!</v>
      </c>
      <c r="EE196" s="78">
        <f t="shared" si="70"/>
        <v>101.64726440963351</v>
      </c>
      <c r="EF196" s="79">
        <f t="shared" si="70"/>
        <v>63.289641635808287</v>
      </c>
      <c r="EG196" s="66" t="e">
        <f t="shared" si="70"/>
        <v>#DIV/0!</v>
      </c>
      <c r="EH196" s="66" t="e">
        <f t="shared" si="70"/>
        <v>#DIV/0!</v>
      </c>
      <c r="EI196" s="66" t="e">
        <f t="shared" si="70"/>
        <v>#DIV/0!</v>
      </c>
      <c r="EJ196" s="79">
        <f t="shared" si="70"/>
        <v>87.029908978845953</v>
      </c>
      <c r="EK196" s="66">
        <f t="shared" si="70"/>
        <v>75.692216665398234</v>
      </c>
      <c r="EL196" s="66" t="e">
        <f t="shared" si="70"/>
        <v>#DIV/0!</v>
      </c>
      <c r="EM196" s="66" t="e">
        <f t="shared" si="70"/>
        <v>#DIV/0!</v>
      </c>
      <c r="EN196" s="66" t="e">
        <f t="shared" si="70"/>
        <v>#DIV/0!</v>
      </c>
      <c r="EO196" s="66" t="e">
        <f t="shared" si="70"/>
        <v>#DIV/0!</v>
      </c>
      <c r="EP196" s="79">
        <f t="shared" si="70"/>
        <v>89.273923741864962</v>
      </c>
    </row>
    <row r="197" spans="1:146" x14ac:dyDescent="0.3">
      <c r="A197" s="52" t="s">
        <v>27</v>
      </c>
      <c r="C197" s="69">
        <f>_xlfn.STDEV.S(C96:C154)</f>
        <v>91.65443521712595</v>
      </c>
      <c r="D197" s="69">
        <f t="shared" ref="D197:BO197" si="71">_xlfn.STDEV.S(D96:D154)</f>
        <v>17.175363534282809</v>
      </c>
      <c r="E197" s="69">
        <f t="shared" si="71"/>
        <v>8.2937127951889913</v>
      </c>
      <c r="F197" s="69">
        <f t="shared" si="71"/>
        <v>93.377801046237707</v>
      </c>
      <c r="G197" s="70">
        <f t="shared" si="71"/>
        <v>15.106741881428416</v>
      </c>
      <c r="H197" s="70" t="e">
        <f t="shared" si="71"/>
        <v>#DIV/0!</v>
      </c>
      <c r="I197" s="70" t="e">
        <f t="shared" si="71"/>
        <v>#DIV/0!</v>
      </c>
      <c r="J197" s="70">
        <f t="shared" si="71"/>
        <v>0.27831164182864371</v>
      </c>
      <c r="K197" s="70">
        <f t="shared" si="71"/>
        <v>5.1673796278993912E-2</v>
      </c>
      <c r="L197" s="70">
        <f t="shared" si="71"/>
        <v>3.3124588373324788</v>
      </c>
      <c r="M197" s="70">
        <f t="shared" si="71"/>
        <v>19.135968690119935</v>
      </c>
      <c r="N197" s="71">
        <f t="shared" si="71"/>
        <v>23.870176317737631</v>
      </c>
      <c r="O197" s="71">
        <f t="shared" si="71"/>
        <v>18.534760236157336</v>
      </c>
      <c r="P197" s="71">
        <f t="shared" si="71"/>
        <v>116.82101348560616</v>
      </c>
      <c r="Q197" s="71">
        <f t="shared" si="71"/>
        <v>2.7169087042947324</v>
      </c>
      <c r="R197" s="71">
        <f t="shared" si="71"/>
        <v>0.58167356092873335</v>
      </c>
      <c r="S197" s="71">
        <f t="shared" si="71"/>
        <v>2.6580073870298961</v>
      </c>
      <c r="T197" s="79" t="e">
        <f t="shared" si="71"/>
        <v>#DIV/0!</v>
      </c>
      <c r="U197" s="79">
        <f t="shared" si="71"/>
        <v>283.27551370823892</v>
      </c>
      <c r="V197" s="79">
        <f t="shared" si="71"/>
        <v>254.20488783656384</v>
      </c>
      <c r="W197" s="79">
        <f t="shared" si="71"/>
        <v>323.50355990255025</v>
      </c>
      <c r="X197" s="79">
        <f t="shared" si="71"/>
        <v>11.846237095944561</v>
      </c>
      <c r="Y197" s="79">
        <f t="shared" si="71"/>
        <v>13.435028842544403</v>
      </c>
      <c r="Z197" s="79">
        <f t="shared" si="71"/>
        <v>4.5961940777125863E-2</v>
      </c>
      <c r="AA197" s="79">
        <f t="shared" si="71"/>
        <v>1.5362644086658159</v>
      </c>
      <c r="AB197" s="79" t="e">
        <f t="shared" si="71"/>
        <v>#DIV/0!</v>
      </c>
      <c r="AC197" s="168">
        <f t="shared" si="71"/>
        <v>6.3318977323811394</v>
      </c>
      <c r="AD197" s="74">
        <f t="shared" si="71"/>
        <v>0.71549998411789872</v>
      </c>
      <c r="AE197" s="69">
        <f t="shared" si="71"/>
        <v>53.907257314918411</v>
      </c>
      <c r="AF197" s="69">
        <f t="shared" si="71"/>
        <v>49.033283081689774</v>
      </c>
      <c r="AG197" s="69">
        <f t="shared" si="71"/>
        <v>2.0866802364035921</v>
      </c>
      <c r="AH197" s="69">
        <f t="shared" si="71"/>
        <v>19.265684053359266</v>
      </c>
      <c r="AI197" s="70">
        <f t="shared" si="71"/>
        <v>14.067488580553386</v>
      </c>
      <c r="AJ197" s="70" t="e">
        <f t="shared" si="71"/>
        <v>#DIV/0!</v>
      </c>
      <c r="AK197" s="70">
        <f t="shared" si="71"/>
        <v>0.24990517423934758</v>
      </c>
      <c r="AL197" s="70">
        <f t="shared" si="71"/>
        <v>6.4077665622142028</v>
      </c>
      <c r="AM197" s="70">
        <f t="shared" si="71"/>
        <v>4.8758991800532669</v>
      </c>
      <c r="AN197" s="71">
        <f t="shared" si="71"/>
        <v>84.178709228374174</v>
      </c>
      <c r="AO197" s="71">
        <f t="shared" si="71"/>
        <v>3.9024958457010919</v>
      </c>
      <c r="AP197" s="71">
        <f t="shared" si="71"/>
        <v>2.2850984307235516</v>
      </c>
      <c r="AQ197" s="71">
        <f t="shared" si="71"/>
        <v>0.41459755931562858</v>
      </c>
      <c r="AR197" s="71">
        <f t="shared" si="71"/>
        <v>28.37782612767197</v>
      </c>
      <c r="AS197" s="79" t="e">
        <f t="shared" si="71"/>
        <v>#DIV/0!</v>
      </c>
      <c r="AT197" s="75">
        <f t="shared" si="71"/>
        <v>92.379876957412478</v>
      </c>
      <c r="AU197" s="75" t="e">
        <f t="shared" si="71"/>
        <v>#DIV/0!</v>
      </c>
      <c r="AV197" s="75">
        <f t="shared" si="71"/>
        <v>103.28659854545188</v>
      </c>
      <c r="AW197" s="75" t="e">
        <f t="shared" si="71"/>
        <v>#DIV/0!</v>
      </c>
      <c r="AX197" s="72">
        <f t="shared" si="71"/>
        <v>2.1213203435596424</v>
      </c>
      <c r="AY197" s="72" t="e">
        <f t="shared" si="71"/>
        <v>#DIV/0!</v>
      </c>
      <c r="AZ197" s="72">
        <f t="shared" si="71"/>
        <v>0.24748737341529264</v>
      </c>
      <c r="BA197" s="72" t="e">
        <f t="shared" si="71"/>
        <v>#DIV/0!</v>
      </c>
      <c r="BB197" s="168">
        <f t="shared" si="71"/>
        <v>718.38901889582257</v>
      </c>
      <c r="BC197" s="74">
        <f t="shared" si="71"/>
        <v>0.12755487734460677</v>
      </c>
      <c r="BD197" s="69">
        <f t="shared" si="71"/>
        <v>41.162493450852551</v>
      </c>
      <c r="BE197" s="69">
        <f t="shared" si="71"/>
        <v>35.735419475163425</v>
      </c>
      <c r="BF197" s="69">
        <f t="shared" si="71"/>
        <v>10.382400709304573</v>
      </c>
      <c r="BG197" s="88">
        <f t="shared" si="71"/>
        <v>23.537729375747382</v>
      </c>
      <c r="BH197" s="70">
        <f t="shared" si="71"/>
        <v>13.084971864404485</v>
      </c>
      <c r="BI197" s="70" t="e">
        <f t="shared" si="71"/>
        <v>#DIV/0!</v>
      </c>
      <c r="BJ197" s="70" t="e">
        <f t="shared" si="71"/>
        <v>#DIV/0!</v>
      </c>
      <c r="BK197" s="70">
        <f t="shared" si="71"/>
        <v>0.12013801623508573</v>
      </c>
      <c r="BL197" s="70">
        <f t="shared" si="71"/>
        <v>2.7139177867505859E-2</v>
      </c>
      <c r="BM197" s="70">
        <f t="shared" si="71"/>
        <v>6.7858166806591438</v>
      </c>
      <c r="BN197" s="70">
        <f t="shared" si="71"/>
        <v>4.7477724452921466</v>
      </c>
      <c r="BO197" s="71">
        <f t="shared" si="71"/>
        <v>62.274967629690778</v>
      </c>
      <c r="BP197" s="71">
        <f t="shared" ref="BP197:EA197" si="72">_xlfn.STDEV.S(BP96:BP154)</f>
        <v>9.6239572595801537</v>
      </c>
      <c r="BQ197" s="71">
        <f t="shared" si="72"/>
        <v>33.216368212804767</v>
      </c>
      <c r="BR197" s="71">
        <f t="shared" si="72"/>
        <v>2.3974276148304758</v>
      </c>
      <c r="BS197" s="71">
        <f t="shared" si="72"/>
        <v>0.73249562981105865</v>
      </c>
      <c r="BT197" s="71">
        <f t="shared" si="72"/>
        <v>45.37958268636487</v>
      </c>
      <c r="BU197" s="79" t="e">
        <f t="shared" si="72"/>
        <v>#DIV/0!</v>
      </c>
      <c r="BV197" s="79">
        <f t="shared" si="72"/>
        <v>90.91943447986003</v>
      </c>
      <c r="BW197" s="79">
        <f t="shared" si="72"/>
        <v>88.74190103891172</v>
      </c>
      <c r="BX197" s="79">
        <f t="shared" si="72"/>
        <v>73.723209038042143</v>
      </c>
      <c r="BY197" s="79">
        <f t="shared" si="72"/>
        <v>25.45584412271571</v>
      </c>
      <c r="BZ197" s="79">
        <f t="shared" si="72"/>
        <v>0.70710678118654757</v>
      </c>
      <c r="CA197" s="79">
        <f t="shared" si="72"/>
        <v>1.1384419177103411</v>
      </c>
      <c r="CB197" s="79" t="e">
        <f t="shared" si="72"/>
        <v>#DIV/0!</v>
      </c>
      <c r="CC197" s="168">
        <f t="shared" si="72"/>
        <v>8.0798407016062903</v>
      </c>
      <c r="CD197" s="74">
        <f t="shared" si="72"/>
        <v>0.18810030852098122</v>
      </c>
      <c r="CE197" s="69">
        <f t="shared" si="72"/>
        <v>16.259556219711115</v>
      </c>
      <c r="CF197" s="69">
        <f t="shared" si="72"/>
        <v>4.688446876839536</v>
      </c>
      <c r="CG197" s="69">
        <f t="shared" si="72"/>
        <v>30.618508632397614</v>
      </c>
      <c r="CH197" s="69">
        <f t="shared" si="72"/>
        <v>10.779023724148248</v>
      </c>
      <c r="CI197" s="76">
        <f t="shared" si="72"/>
        <v>5.6874683578397658</v>
      </c>
      <c r="CJ197" s="76">
        <f t="shared" si="72"/>
        <v>3.3968526294483947</v>
      </c>
      <c r="CK197" s="177">
        <f t="shared" si="72"/>
        <v>81.265494999488908</v>
      </c>
      <c r="CL197" s="70">
        <f t="shared" si="72"/>
        <v>8.2935842718018193</v>
      </c>
      <c r="CM197" s="76">
        <f t="shared" si="72"/>
        <v>13.103918746023297</v>
      </c>
      <c r="CN197" s="77">
        <f t="shared" si="72"/>
        <v>6.0012125984224562</v>
      </c>
      <c r="CO197" s="77">
        <f t="shared" si="72"/>
        <v>5.7057799364203605</v>
      </c>
      <c r="CP197" s="77">
        <f t="shared" si="72"/>
        <v>2.0261953720493708</v>
      </c>
      <c r="CQ197" s="77">
        <f t="shared" si="72"/>
        <v>0.38203741900998328</v>
      </c>
      <c r="CR197" s="77">
        <f t="shared" si="72"/>
        <v>22.129410242179329</v>
      </c>
      <c r="CS197" s="66" t="e">
        <f t="shared" si="72"/>
        <v>#DIV/0!</v>
      </c>
      <c r="CT197" s="66" t="e">
        <f t="shared" si="72"/>
        <v>#DIV/0!</v>
      </c>
      <c r="CU197" s="66" t="e">
        <f t="shared" si="72"/>
        <v>#DIV/0!</v>
      </c>
      <c r="CV197" s="66" t="e">
        <f t="shared" si="72"/>
        <v>#DIV/0!</v>
      </c>
      <c r="CW197" s="66" t="e">
        <f t="shared" si="72"/>
        <v>#DIV/0!</v>
      </c>
      <c r="CX197" s="66" t="e">
        <f t="shared" si="72"/>
        <v>#DIV/0!</v>
      </c>
      <c r="CY197" s="66">
        <f t="shared" si="72"/>
        <v>5.2149125112507937</v>
      </c>
      <c r="CZ197" s="66" t="e">
        <f t="shared" si="72"/>
        <v>#DIV/0!</v>
      </c>
      <c r="DA197" s="168">
        <f t="shared" si="72"/>
        <v>28.406080375802361</v>
      </c>
      <c r="DB197" s="67">
        <f t="shared" si="72"/>
        <v>0.4474027339536566</v>
      </c>
      <c r="DC197" s="69">
        <f t="shared" si="72"/>
        <v>19.244380585916218</v>
      </c>
      <c r="DD197" s="69">
        <f t="shared" si="72"/>
        <v>18.08638157922535</v>
      </c>
      <c r="DE197" s="69">
        <f t="shared" si="72"/>
        <v>22.030784039976819</v>
      </c>
      <c r="DF197" s="69">
        <f t="shared" si="72"/>
        <v>5.7656780237983147</v>
      </c>
      <c r="DG197" s="70">
        <f t="shared" si="72"/>
        <v>9.0866193460211981</v>
      </c>
      <c r="DH197" s="70">
        <f t="shared" si="72"/>
        <v>0.23099734551800291</v>
      </c>
      <c r="DI197" s="70">
        <f t="shared" si="72"/>
        <v>7.0331030199457134E-2</v>
      </c>
      <c r="DJ197" s="177">
        <f t="shared" si="72"/>
        <v>108.01365026992198</v>
      </c>
      <c r="DK197" s="177">
        <f t="shared" si="72"/>
        <v>24.40028359597542</v>
      </c>
      <c r="DL197" s="70">
        <f t="shared" si="72"/>
        <v>7.3836799354255183</v>
      </c>
      <c r="DM197" s="70">
        <f t="shared" si="72"/>
        <v>27.58330257245477</v>
      </c>
      <c r="DN197" s="71">
        <f t="shared" si="72"/>
        <v>3.4755969505744053</v>
      </c>
      <c r="DO197" s="71">
        <f t="shared" si="72"/>
        <v>2.6987381785088487</v>
      </c>
      <c r="DP197" s="180">
        <f t="shared" si="72"/>
        <v>26.934094372959407</v>
      </c>
      <c r="DQ197" s="180">
        <f t="shared" si="72"/>
        <v>2.0944561771548194</v>
      </c>
      <c r="DR197" s="71">
        <f t="shared" si="72"/>
        <v>0.79228676474015214</v>
      </c>
      <c r="DS197" s="180">
        <f t="shared" si="72"/>
        <v>31.738567940845396</v>
      </c>
      <c r="DT197" s="66" t="e">
        <f t="shared" si="72"/>
        <v>#DIV/0!</v>
      </c>
      <c r="DU197" s="79">
        <f t="shared" si="72"/>
        <v>17.166391583556539</v>
      </c>
      <c r="DV197" s="79">
        <f t="shared" si="72"/>
        <v>25.883858352237826</v>
      </c>
      <c r="DW197" s="119">
        <f t="shared" si="72"/>
        <v>16.970562748477139</v>
      </c>
      <c r="DX197" s="79">
        <f t="shared" si="72"/>
        <v>0.33469720976163203</v>
      </c>
      <c r="DY197" s="136" t="e">
        <f t="shared" si="72"/>
        <v>#DIV/0!</v>
      </c>
      <c r="DZ197" s="168">
        <f t="shared" si="72"/>
        <v>7.3737746742696126</v>
      </c>
      <c r="EA197" s="74">
        <f t="shared" si="72"/>
        <v>0.59084033510526501</v>
      </c>
      <c r="EB197" s="78">
        <f t="shared" ref="EB197:EP197" si="73">_xlfn.STDEV.S(EB96:EB154)</f>
        <v>25.060411417040765</v>
      </c>
      <c r="EC197" s="78">
        <f t="shared" si="73"/>
        <v>147.68672587158929</v>
      </c>
      <c r="ED197" s="78" t="e">
        <f t="shared" si="73"/>
        <v>#DIV/0!</v>
      </c>
      <c r="EE197" s="78">
        <f t="shared" si="73"/>
        <v>25.991617439185195</v>
      </c>
      <c r="EF197" s="79">
        <f t="shared" si="73"/>
        <v>16.163009911385913</v>
      </c>
      <c r="EG197" s="66" t="e">
        <f t="shared" si="73"/>
        <v>#DIV/0!</v>
      </c>
      <c r="EH197" s="66" t="e">
        <f t="shared" si="73"/>
        <v>#DIV/0!</v>
      </c>
      <c r="EI197" s="66" t="e">
        <f t="shared" si="73"/>
        <v>#DIV/0!</v>
      </c>
      <c r="EJ197" s="79">
        <f t="shared" si="73"/>
        <v>10.956767964902799</v>
      </c>
      <c r="EK197" s="66">
        <f t="shared" si="73"/>
        <v>14.433056537297958</v>
      </c>
      <c r="EL197" s="66" t="e">
        <f t="shared" si="73"/>
        <v>#DIV/0!</v>
      </c>
      <c r="EM197" s="66" t="e">
        <f t="shared" si="73"/>
        <v>#DIV/0!</v>
      </c>
      <c r="EN197" s="66" t="e">
        <f t="shared" si="73"/>
        <v>#DIV/0!</v>
      </c>
      <c r="EO197" s="66" t="e">
        <f t="shared" si="73"/>
        <v>#DIV/0!</v>
      </c>
      <c r="EP197" s="79">
        <f t="shared" si="73"/>
        <v>11.181364235192014</v>
      </c>
    </row>
    <row r="198" spans="1:146" x14ac:dyDescent="0.3">
      <c r="A198" s="120"/>
      <c r="B198" s="120"/>
      <c r="C198" s="121"/>
      <c r="D198" s="121"/>
      <c r="E198" s="121"/>
      <c r="F198" s="121"/>
      <c r="G198" s="122"/>
      <c r="H198" s="122"/>
      <c r="I198" s="122"/>
      <c r="J198" s="122"/>
      <c r="K198" s="122"/>
      <c r="L198" s="122"/>
      <c r="M198" s="122"/>
      <c r="N198" s="123"/>
      <c r="O198" s="123"/>
      <c r="P198" s="123"/>
      <c r="Q198" s="123"/>
      <c r="R198" s="123"/>
      <c r="S198" s="123"/>
      <c r="T198" s="124"/>
      <c r="U198" s="125"/>
      <c r="V198" s="125"/>
      <c r="W198" s="124"/>
      <c r="X198" s="124"/>
      <c r="Y198" s="124"/>
      <c r="Z198" s="124"/>
      <c r="AA198" s="124"/>
      <c r="AB198" s="124"/>
      <c r="AC198" s="169"/>
      <c r="AD198" s="126"/>
      <c r="AE198" s="121"/>
      <c r="AF198" s="121"/>
      <c r="AG198" s="121"/>
      <c r="AH198" s="121"/>
      <c r="AI198" s="122"/>
      <c r="AJ198" s="122"/>
      <c r="AK198" s="122"/>
      <c r="AL198" s="122"/>
      <c r="AM198" s="122"/>
      <c r="AN198" s="123"/>
      <c r="AO198" s="123"/>
      <c r="AP198" s="123"/>
      <c r="AQ198" s="123"/>
      <c r="AR198" s="123"/>
      <c r="AS198" s="124"/>
      <c r="AT198" s="127"/>
      <c r="AU198" s="127"/>
      <c r="AV198" s="127"/>
      <c r="AW198" s="127"/>
      <c r="AX198" s="128"/>
      <c r="AY198" s="128"/>
      <c r="AZ198" s="128"/>
      <c r="BA198" s="128"/>
      <c r="BB198" s="169"/>
      <c r="BC198" s="126"/>
      <c r="BD198" s="121"/>
      <c r="BE198" s="121"/>
      <c r="BF198" s="121"/>
      <c r="BG198" s="129"/>
      <c r="BH198" s="122"/>
      <c r="BI198" s="122"/>
      <c r="BJ198" s="122"/>
      <c r="BK198" s="122"/>
      <c r="BL198" s="122"/>
      <c r="BM198" s="122"/>
      <c r="BN198" s="122"/>
      <c r="BO198" s="123"/>
      <c r="BP198" s="123"/>
      <c r="BQ198" s="123"/>
      <c r="BR198" s="123"/>
      <c r="BS198" s="123"/>
      <c r="BT198" s="123"/>
      <c r="BU198" s="124"/>
      <c r="BV198" s="124"/>
      <c r="BW198" s="124"/>
      <c r="BX198" s="124"/>
      <c r="BY198" s="124"/>
      <c r="BZ198" s="124"/>
      <c r="CA198" s="124"/>
      <c r="CB198" s="124"/>
      <c r="CC198" s="169"/>
      <c r="CD198" s="126"/>
      <c r="EB198" s="135"/>
      <c r="EC198" s="135"/>
      <c r="ED198" s="135"/>
      <c r="EE198" s="135"/>
    </row>
    <row r="199" spans="1:146" x14ac:dyDescent="0.3">
      <c r="AT199" s="75"/>
      <c r="AU199" s="75"/>
      <c r="AV199" s="75"/>
      <c r="AW199" s="75"/>
      <c r="AX199" s="72"/>
      <c r="AY199" s="72"/>
      <c r="AZ199" s="72"/>
      <c r="BA199" s="72"/>
      <c r="EB199" s="79"/>
      <c r="EC199" s="79"/>
      <c r="ED199" s="79"/>
      <c r="EE199" s="79"/>
    </row>
    <row r="200" spans="1:146" x14ac:dyDescent="0.3">
      <c r="AV200" s="75"/>
      <c r="AW200" s="75"/>
      <c r="EB200" s="79"/>
      <c r="EC200" s="79"/>
      <c r="ED200" s="79"/>
      <c r="EE200" s="79"/>
    </row>
    <row r="201" spans="1:146" x14ac:dyDescent="0.3">
      <c r="AV201" s="75"/>
      <c r="AW201" s="75"/>
      <c r="EB201" s="79"/>
      <c r="EC201" s="79"/>
      <c r="ED201" s="79"/>
      <c r="EE201" s="79"/>
    </row>
    <row r="202" spans="1:146" x14ac:dyDescent="0.3">
      <c r="AV202" s="75"/>
      <c r="EB202" s="79"/>
      <c r="EC202" s="79"/>
      <c r="ED202" s="79"/>
      <c r="EE202" s="79"/>
    </row>
    <row r="203" spans="1:146" x14ac:dyDescent="0.3">
      <c r="AV203" s="75"/>
      <c r="EB203" s="79"/>
      <c r="EC203" s="79"/>
      <c r="ED203" s="79"/>
      <c r="EE203" s="79"/>
    </row>
    <row r="204" spans="1:146" x14ac:dyDescent="0.3">
      <c r="EB204" s="79"/>
      <c r="EC204" s="79"/>
      <c r="ED204" s="79"/>
      <c r="EE204" s="79"/>
    </row>
    <row r="205" spans="1:146" x14ac:dyDescent="0.3">
      <c r="EB205" s="79"/>
      <c r="EC205" s="79"/>
      <c r="ED205" s="79"/>
      <c r="EE205" s="79"/>
    </row>
    <row r="206" spans="1:146" x14ac:dyDescent="0.3">
      <c r="EB206" s="79"/>
      <c r="EC206" s="79"/>
      <c r="ED206" s="79"/>
      <c r="EE206" s="79"/>
    </row>
    <row r="207" spans="1:146" x14ac:dyDescent="0.3">
      <c r="EB207" s="79"/>
      <c r="EC207" s="79"/>
      <c r="ED207" s="79"/>
      <c r="EE207" s="79"/>
    </row>
    <row r="208" spans="1:146" x14ac:dyDescent="0.3">
      <c r="EB208" s="79"/>
      <c r="EC208" s="79"/>
      <c r="ED208" s="79"/>
      <c r="EE208" s="79"/>
    </row>
    <row r="209" spans="132:135" x14ac:dyDescent="0.3">
      <c r="EB209" s="79"/>
      <c r="EC209" s="79"/>
      <c r="ED209" s="79"/>
      <c r="EE209" s="79"/>
    </row>
    <row r="210" spans="132:135" x14ac:dyDescent="0.3">
      <c r="EB210" s="79"/>
      <c r="EC210" s="79"/>
      <c r="ED210" s="79"/>
      <c r="EE210" s="79"/>
    </row>
    <row r="211" spans="132:135" x14ac:dyDescent="0.3">
      <c r="EB211" s="79"/>
      <c r="EC211" s="79"/>
      <c r="ED211" s="79"/>
      <c r="EE211" s="79"/>
    </row>
    <row r="212" spans="132:135" x14ac:dyDescent="0.3">
      <c r="EB212" s="79"/>
      <c r="EC212" s="79"/>
      <c r="ED212" s="79"/>
      <c r="EE212" s="79"/>
    </row>
    <row r="213" spans="132:135" x14ac:dyDescent="0.3">
      <c r="EB213" s="79"/>
      <c r="EC213" s="79"/>
      <c r="ED213" s="79"/>
      <c r="EE213" s="79"/>
    </row>
    <row r="214" spans="132:135" x14ac:dyDescent="0.3">
      <c r="EB214" s="79"/>
      <c r="EC214" s="79"/>
      <c r="ED214" s="79"/>
      <c r="EE214" s="79"/>
    </row>
    <row r="215" spans="132:135" x14ac:dyDescent="0.3">
      <c r="EB215" s="79"/>
      <c r="EC215" s="79"/>
      <c r="ED215" s="79"/>
      <c r="EE215" s="79"/>
    </row>
    <row r="216" spans="132:135" x14ac:dyDescent="0.3">
      <c r="EB216" s="79"/>
      <c r="EC216" s="79"/>
      <c r="ED216" s="79"/>
      <c r="EE216" s="79"/>
    </row>
    <row r="217" spans="132:135" x14ac:dyDescent="0.3">
      <c r="EB217" s="79"/>
      <c r="EC217" s="79"/>
      <c r="ED217" s="79"/>
      <c r="EE217" s="79"/>
    </row>
    <row r="218" spans="132:135" x14ac:dyDescent="0.3">
      <c r="EB218" s="79"/>
      <c r="EC218" s="79"/>
      <c r="ED218" s="79"/>
      <c r="EE218" s="79"/>
    </row>
    <row r="219" spans="132:135" x14ac:dyDescent="0.3">
      <c r="EB219" s="79"/>
      <c r="EC219" s="79"/>
      <c r="ED219" s="79"/>
      <c r="EE219" s="79"/>
    </row>
    <row r="220" spans="132:135" x14ac:dyDescent="0.3">
      <c r="EB220" s="79"/>
      <c r="EC220" s="79"/>
      <c r="ED220" s="79"/>
      <c r="EE220" s="79"/>
    </row>
    <row r="221" spans="132:135" x14ac:dyDescent="0.3">
      <c r="EB221" s="79"/>
      <c r="EC221" s="79"/>
      <c r="ED221" s="79"/>
      <c r="EE221" s="79"/>
    </row>
    <row r="222" spans="132:135" x14ac:dyDescent="0.3">
      <c r="EB222" s="79"/>
      <c r="EC222" s="79"/>
      <c r="ED222" s="79"/>
      <c r="EE222" s="79"/>
    </row>
  </sheetData>
  <mergeCells count="32">
    <mergeCell ref="EI45:EK45"/>
    <mergeCell ref="BD2:BG2"/>
    <mergeCell ref="BH2:BN2"/>
    <mergeCell ref="CE1:DB1"/>
    <mergeCell ref="CE2:CH2"/>
    <mergeCell ref="CI2:CM2"/>
    <mergeCell ref="CN2:CR2"/>
    <mergeCell ref="DC1:EA1"/>
    <mergeCell ref="DC2:DF2"/>
    <mergeCell ref="DG2:DM2"/>
    <mergeCell ref="DN2:DS2"/>
    <mergeCell ref="EL1:EO1"/>
    <mergeCell ref="EL2:EO2"/>
    <mergeCell ref="BU2:CB2"/>
    <mergeCell ref="CS2:CZ2"/>
    <mergeCell ref="DT2:DY2"/>
    <mergeCell ref="T2:AB2"/>
    <mergeCell ref="EG1:EJ1"/>
    <mergeCell ref="EG2:EJ2"/>
    <mergeCell ref="C1:AD1"/>
    <mergeCell ref="BD1:CD1"/>
    <mergeCell ref="AE1:BC1"/>
    <mergeCell ref="AI2:AM2"/>
    <mergeCell ref="G2:M2"/>
    <mergeCell ref="C2:F2"/>
    <mergeCell ref="AE2:AH2"/>
    <mergeCell ref="N2:S2"/>
    <mergeCell ref="AN2:AR2"/>
    <mergeCell ref="BO2:BT2"/>
    <mergeCell ref="AS2:AX2"/>
    <mergeCell ref="EB2:EE2"/>
    <mergeCell ref="EB1:EE1"/>
  </mergeCells>
  <conditionalFormatting sqref="BG195:BG1048576 AH194:AH1048576 AH1:AH151 BG1:BG152 EF1:EF1048576">
    <cfRule type="cellIs" dxfId="9" priority="7" operator="lessThan">
      <formula>0</formula>
    </cfRule>
  </conditionalFormatting>
  <conditionalFormatting sqref="EK1:EK4">
    <cfRule type="cellIs" dxfId="8" priority="4" operator="lessThan">
      <formula>0</formula>
    </cfRule>
  </conditionalFormatting>
  <conditionalFormatting sqref="EJ98">
    <cfRule type="cellIs" dxfId="7" priority="3" operator="lessThan">
      <formula>0</formula>
    </cfRule>
  </conditionalFormatting>
  <conditionalFormatting sqref="EP1:EP4">
    <cfRule type="cellIs" dxfId="6" priority="2" operator="lessThan">
      <formula>0</formula>
    </cfRule>
  </conditionalFormatting>
  <conditionalFormatting sqref="EP98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691A-CA00-4E3B-98C8-C8E5DF90F757}">
  <dimension ref="A1:AO180"/>
  <sheetViews>
    <sheetView zoomScale="85" zoomScaleNormal="85" workbookViewId="0">
      <pane ySplit="2" topLeftCell="A175" activePane="bottomLeft" state="frozen"/>
      <selection pane="bottomLeft" activeCell="AJ186" sqref="AJ186"/>
    </sheetView>
  </sheetViews>
  <sheetFormatPr defaultRowHeight="14.4" x14ac:dyDescent="0.3"/>
  <cols>
    <col min="1" max="1" width="12.33203125" style="5" bestFit="1" customWidth="1"/>
    <col min="2" max="2" width="12.33203125" style="5" customWidth="1"/>
    <col min="3" max="3" width="10.6640625" hidden="1" customWidth="1"/>
    <col min="4" max="4" width="13.5546875" hidden="1" customWidth="1"/>
    <col min="5" max="5" width="8" hidden="1" customWidth="1"/>
    <col min="6" max="6" width="12" hidden="1" customWidth="1"/>
    <col min="7" max="7" width="19.6640625" hidden="1" customWidth="1"/>
    <col min="8" max="8" width="10.6640625" style="4" customWidth="1"/>
    <col min="9" max="9" width="13.5546875" style="4" bestFit="1" customWidth="1"/>
    <col min="10" max="10" width="8" bestFit="1" customWidth="1"/>
    <col min="11" max="11" width="9.6640625" customWidth="1"/>
    <col min="12" max="12" width="9.6640625" style="4" customWidth="1"/>
    <col min="13" max="13" width="14.6640625" style="4" bestFit="1" customWidth="1"/>
    <col min="14" max="14" width="12.6640625" style="1" customWidth="1"/>
    <col min="15" max="15" width="19.88671875" customWidth="1"/>
    <col min="16" max="16" width="10.6640625" hidden="1" customWidth="1"/>
    <col min="17" max="17" width="13.5546875" hidden="1" customWidth="1"/>
    <col min="18" max="18" width="8" hidden="1" customWidth="1"/>
    <col min="19" max="20" width="9.6640625" hidden="1" customWidth="1"/>
    <col min="21" max="21" width="12.6640625" hidden="1" customWidth="1"/>
    <col min="22" max="23" width="9.6640625" hidden="1" customWidth="1"/>
    <col min="24" max="24" width="9.109375" style="4"/>
    <col min="25" max="25" width="13.5546875" style="4" bestFit="1" customWidth="1"/>
    <col min="27" max="27" width="9.109375" style="1"/>
    <col min="28" max="28" width="9.6640625" bestFit="1" customWidth="1"/>
    <col min="29" max="29" width="13.33203125" bestFit="1" customWidth="1"/>
    <col min="31" max="31" width="17.33203125" style="1" bestFit="1" customWidth="1"/>
  </cols>
  <sheetData>
    <row r="1" spans="1:31" s="43" customFormat="1" ht="18" x14ac:dyDescent="0.35">
      <c r="A1" s="42"/>
      <c r="B1" s="42"/>
      <c r="C1" s="204" t="s">
        <v>29</v>
      </c>
      <c r="D1" s="204"/>
      <c r="E1" s="204"/>
      <c r="F1" s="204"/>
      <c r="G1" s="204"/>
      <c r="H1" s="203" t="s">
        <v>57</v>
      </c>
      <c r="I1" s="203"/>
      <c r="J1" s="203"/>
      <c r="K1" s="203"/>
      <c r="L1" s="203"/>
      <c r="M1" s="203"/>
      <c r="N1" s="203"/>
      <c r="O1" s="203"/>
      <c r="P1" s="205" t="s">
        <v>30</v>
      </c>
      <c r="Q1" s="205"/>
      <c r="R1" s="205"/>
      <c r="S1" s="205"/>
      <c r="T1" s="205"/>
      <c r="U1" s="205"/>
      <c r="V1" s="205"/>
      <c r="W1" s="205"/>
      <c r="X1" s="206" t="s">
        <v>58</v>
      </c>
      <c r="Y1" s="206"/>
      <c r="Z1" s="206"/>
      <c r="AA1" s="206"/>
      <c r="AB1" s="206"/>
      <c r="AC1" s="206"/>
      <c r="AD1" s="206"/>
      <c r="AE1" s="206"/>
    </row>
    <row r="2" spans="1:31" s="8" customFormat="1" x14ac:dyDescent="0.3">
      <c r="A2" s="14"/>
      <c r="B2" s="14"/>
      <c r="C2" s="15" t="s">
        <v>31</v>
      </c>
      <c r="D2" s="15" t="s">
        <v>32</v>
      </c>
      <c r="E2" s="15" t="s">
        <v>33</v>
      </c>
      <c r="F2" s="15" t="s">
        <v>28</v>
      </c>
      <c r="G2" s="15" t="s">
        <v>34</v>
      </c>
      <c r="H2" s="16" t="s">
        <v>31</v>
      </c>
      <c r="I2" s="16" t="s">
        <v>32</v>
      </c>
      <c r="J2" s="15" t="s">
        <v>33</v>
      </c>
      <c r="K2" s="15" t="s">
        <v>28</v>
      </c>
      <c r="L2" s="16" t="s">
        <v>35</v>
      </c>
      <c r="M2" s="16" t="s">
        <v>36</v>
      </c>
      <c r="N2" s="17" t="s">
        <v>37</v>
      </c>
      <c r="O2" s="15" t="s">
        <v>34</v>
      </c>
      <c r="P2" s="15" t="s">
        <v>31</v>
      </c>
      <c r="Q2" s="15" t="s">
        <v>32</v>
      </c>
      <c r="R2" s="15" t="s">
        <v>33</v>
      </c>
      <c r="S2" s="15" t="s">
        <v>28</v>
      </c>
      <c r="T2" s="15" t="s">
        <v>35</v>
      </c>
      <c r="U2" s="15" t="s">
        <v>36</v>
      </c>
      <c r="V2" s="15" t="s">
        <v>37</v>
      </c>
      <c r="W2" s="15" t="s">
        <v>34</v>
      </c>
      <c r="X2" s="16" t="s">
        <v>31</v>
      </c>
      <c r="Y2" s="16" t="s">
        <v>32</v>
      </c>
      <c r="Z2" s="15" t="s">
        <v>33</v>
      </c>
      <c r="AA2" s="17" t="s">
        <v>28</v>
      </c>
      <c r="AB2" s="15" t="s">
        <v>35</v>
      </c>
      <c r="AC2" s="15" t="s">
        <v>36</v>
      </c>
      <c r="AD2" s="15" t="s">
        <v>37</v>
      </c>
      <c r="AE2" s="17" t="s">
        <v>34</v>
      </c>
    </row>
    <row r="3" spans="1:31" x14ac:dyDescent="0.3">
      <c r="A3" s="13"/>
      <c r="B3" s="13"/>
      <c r="C3" s="12" t="s">
        <v>38</v>
      </c>
      <c r="D3" s="12" t="s">
        <v>38</v>
      </c>
      <c r="E3" s="12" t="s">
        <v>39</v>
      </c>
      <c r="F3" s="12" t="s">
        <v>40</v>
      </c>
      <c r="G3" s="12"/>
      <c r="H3" s="18" t="s">
        <v>38</v>
      </c>
      <c r="I3" s="18" t="s">
        <v>38</v>
      </c>
      <c r="J3" s="12" t="s">
        <v>39</v>
      </c>
      <c r="K3" s="12" t="s">
        <v>40</v>
      </c>
      <c r="L3" s="18" t="s">
        <v>38</v>
      </c>
      <c r="M3" s="18" t="s">
        <v>38</v>
      </c>
      <c r="N3" s="19" t="s">
        <v>40</v>
      </c>
      <c r="O3" s="12" t="s">
        <v>51</v>
      </c>
      <c r="P3" s="12" t="s">
        <v>38</v>
      </c>
      <c r="Q3" s="12" t="s">
        <v>38</v>
      </c>
      <c r="R3" s="12" t="s">
        <v>39</v>
      </c>
      <c r="S3" s="12" t="s">
        <v>40</v>
      </c>
      <c r="T3" s="12" t="s">
        <v>38</v>
      </c>
      <c r="U3" s="12" t="s">
        <v>38</v>
      </c>
      <c r="V3" s="12" t="s">
        <v>40</v>
      </c>
      <c r="W3" s="12"/>
      <c r="X3" s="18" t="s">
        <v>38</v>
      </c>
      <c r="Y3" s="18" t="s">
        <v>38</v>
      </c>
      <c r="Z3" s="12" t="s">
        <v>39</v>
      </c>
      <c r="AA3" s="19" t="s">
        <v>40</v>
      </c>
      <c r="AB3" s="12" t="s">
        <v>38</v>
      </c>
      <c r="AC3" s="12" t="s">
        <v>38</v>
      </c>
      <c r="AD3" s="12" t="s">
        <v>40</v>
      </c>
      <c r="AE3" s="19" t="s">
        <v>51</v>
      </c>
    </row>
    <row r="4" spans="1:31" hidden="1" x14ac:dyDescent="0.3">
      <c r="A4" s="20">
        <v>44368</v>
      </c>
      <c r="B4" s="20"/>
      <c r="C4" s="19">
        <v>0.32735999999999998</v>
      </c>
      <c r="D4" s="19">
        <v>0.38034499999999999</v>
      </c>
      <c r="E4" s="19">
        <v>20</v>
      </c>
      <c r="F4" s="19">
        <f>(D4-C4)/E4*1000</f>
        <v>2.6492500000000003</v>
      </c>
      <c r="G4" s="19" t="s">
        <v>41</v>
      </c>
      <c r="H4" s="18">
        <v>0.34197</v>
      </c>
      <c r="I4" s="18">
        <v>0.39621000000000001</v>
      </c>
      <c r="J4" s="19">
        <v>20</v>
      </c>
      <c r="K4" s="19">
        <f>(I4-H4)/J4*1000</f>
        <v>2.7120000000000006</v>
      </c>
      <c r="L4" s="18"/>
      <c r="M4" s="18"/>
      <c r="N4" s="21">
        <f t="shared" ref="N4:N22" si="0">(M4-L4)/J4*1000</f>
        <v>0</v>
      </c>
      <c r="O4" s="19" t="s">
        <v>42</v>
      </c>
      <c r="P4" s="18"/>
      <c r="Q4" s="18"/>
      <c r="R4" s="19"/>
      <c r="S4" s="19"/>
      <c r="T4" s="18"/>
      <c r="U4" s="18"/>
      <c r="V4" s="19"/>
      <c r="W4" s="19"/>
      <c r="X4" s="18"/>
      <c r="Y4" s="18"/>
      <c r="Z4" s="12"/>
      <c r="AA4" s="19"/>
      <c r="AB4" s="12"/>
      <c r="AC4" s="12"/>
      <c r="AD4" s="12"/>
      <c r="AE4" s="19"/>
    </row>
    <row r="5" spans="1:31" hidden="1" x14ac:dyDescent="0.3">
      <c r="A5" s="20">
        <v>44378</v>
      </c>
      <c r="B5" s="20"/>
      <c r="C5" s="19"/>
      <c r="D5" s="19"/>
      <c r="E5" s="19"/>
      <c r="F5" s="19"/>
      <c r="G5" s="19"/>
      <c r="H5" s="18"/>
      <c r="I5" s="18"/>
      <c r="J5" s="19"/>
      <c r="K5" s="19"/>
      <c r="L5" s="18"/>
      <c r="M5" s="18"/>
      <c r="N5" s="21" t="e">
        <f t="shared" si="0"/>
        <v>#DIV/0!</v>
      </c>
      <c r="O5" s="19"/>
      <c r="P5" s="18">
        <f>(0.32463+0.32468+0.32478)/3</f>
        <v>0.32469666666666669</v>
      </c>
      <c r="Q5" s="18">
        <f>(0.58978+0.59306+0.59547)/3</f>
        <v>0.59277000000000013</v>
      </c>
      <c r="R5" s="19">
        <v>10</v>
      </c>
      <c r="S5" s="19">
        <f>(Q5-P5)/R5*1000</f>
        <v>26.807333333333343</v>
      </c>
      <c r="T5" s="18"/>
      <c r="U5" s="18"/>
      <c r="V5" s="19"/>
      <c r="W5" s="19"/>
      <c r="X5" s="18"/>
      <c r="Y5" s="18"/>
      <c r="Z5" s="12"/>
      <c r="AA5" s="19"/>
      <c r="AB5" s="12"/>
      <c r="AC5" s="12"/>
      <c r="AD5" s="12"/>
      <c r="AE5" s="19"/>
    </row>
    <row r="6" spans="1:31" hidden="1" x14ac:dyDescent="0.3">
      <c r="A6" s="20">
        <v>44406</v>
      </c>
      <c r="B6" s="20"/>
      <c r="C6" s="19"/>
      <c r="D6" s="19"/>
      <c r="E6" s="19"/>
      <c r="F6" s="19"/>
      <c r="G6" s="19"/>
      <c r="H6" s="18">
        <f>AVERAGE(0.61049,0.60834,0.60829)</f>
        <v>0.60904000000000003</v>
      </c>
      <c r="I6" s="18">
        <f>AVERAGE(0.69386,0.69524,0.69614)</f>
        <v>0.69507999999999992</v>
      </c>
      <c r="J6" s="19">
        <v>10</v>
      </c>
      <c r="K6" s="19">
        <f t="shared" ref="K6:K38" si="1">(I6-H6)/J6*1000</f>
        <v>8.6039999999999903</v>
      </c>
      <c r="L6" s="18"/>
      <c r="M6" s="18"/>
      <c r="N6" s="21">
        <f t="shared" si="0"/>
        <v>0</v>
      </c>
      <c r="O6" s="19"/>
      <c r="P6" s="18"/>
      <c r="Q6" s="18"/>
      <c r="R6" s="19"/>
      <c r="S6" s="19"/>
      <c r="T6" s="18"/>
      <c r="U6" s="18"/>
      <c r="V6" s="19"/>
      <c r="W6" s="19"/>
      <c r="X6" s="18"/>
      <c r="Y6" s="18"/>
      <c r="Z6" s="12"/>
      <c r="AA6" s="19"/>
      <c r="AB6" s="12"/>
      <c r="AC6" s="12"/>
      <c r="AD6" s="12"/>
      <c r="AE6" s="19"/>
    </row>
    <row r="7" spans="1:31" s="2" customFormat="1" hidden="1" x14ac:dyDescent="0.3">
      <c r="A7" s="22">
        <v>44407</v>
      </c>
      <c r="B7" s="22"/>
      <c r="C7" s="23"/>
      <c r="D7" s="23"/>
      <c r="E7" s="23"/>
      <c r="F7" s="23"/>
      <c r="G7" s="23"/>
      <c r="H7" s="24">
        <f>AVERAGE(0.60335,0.60209,0.6018)</f>
        <v>0.60241333333333336</v>
      </c>
      <c r="I7" s="24">
        <f>AVERAGE(0.65952,0.66,0.66061)</f>
        <v>0.66004333333333332</v>
      </c>
      <c r="J7" s="23">
        <v>10</v>
      </c>
      <c r="K7" s="23">
        <f t="shared" si="1"/>
        <v>5.7629999999999955</v>
      </c>
      <c r="L7" s="24"/>
      <c r="M7" s="24"/>
      <c r="N7" s="21">
        <f t="shared" si="0"/>
        <v>0</v>
      </c>
      <c r="O7" s="23"/>
      <c r="P7" s="24"/>
      <c r="Q7" s="24"/>
      <c r="R7" s="23"/>
      <c r="S7" s="23"/>
      <c r="T7" s="24"/>
      <c r="U7" s="24"/>
      <c r="V7" s="23"/>
      <c r="W7" s="23"/>
      <c r="X7" s="24"/>
      <c r="Y7" s="24"/>
      <c r="Z7" s="25"/>
      <c r="AA7" s="23"/>
      <c r="AB7" s="25"/>
      <c r="AC7" s="25"/>
      <c r="AD7" s="25"/>
      <c r="AE7" s="23"/>
    </row>
    <row r="8" spans="1:31" hidden="1" x14ac:dyDescent="0.3">
      <c r="A8" s="20">
        <v>44410</v>
      </c>
      <c r="B8" s="20"/>
      <c r="C8" s="19"/>
      <c r="D8" s="19"/>
      <c r="E8" s="19"/>
      <c r="F8" s="19"/>
      <c r="G8" s="19"/>
      <c r="H8" s="18">
        <f>AVERAGE(0.59512,0.59401,0.59381)</f>
        <v>0.59431333333333336</v>
      </c>
      <c r="I8" s="18">
        <f>AVERAGE(0.60147,0.60273,0.604)</f>
        <v>0.60273333333333323</v>
      </c>
      <c r="J8" s="19">
        <v>10</v>
      </c>
      <c r="K8" s="19">
        <f t="shared" si="1"/>
        <v>0.8419999999999872</v>
      </c>
      <c r="L8" s="18"/>
      <c r="M8" s="18"/>
      <c r="N8" s="21">
        <f t="shared" si="0"/>
        <v>0</v>
      </c>
      <c r="O8" s="19"/>
      <c r="P8" s="18"/>
      <c r="Q8" s="18"/>
      <c r="R8" s="19"/>
      <c r="S8" s="19"/>
      <c r="T8" s="18"/>
      <c r="U8" s="18"/>
      <c r="V8" s="19"/>
      <c r="W8" s="19"/>
      <c r="X8" s="18"/>
      <c r="Y8" s="18"/>
      <c r="Z8" s="12"/>
      <c r="AA8" s="19"/>
      <c r="AB8" s="12"/>
      <c r="AC8" s="12"/>
      <c r="AD8" s="12"/>
      <c r="AE8" s="19"/>
    </row>
    <row r="9" spans="1:31" hidden="1" x14ac:dyDescent="0.3">
      <c r="A9" s="20">
        <v>44411</v>
      </c>
      <c r="B9" s="20"/>
      <c r="C9" s="19"/>
      <c r="D9" s="19"/>
      <c r="E9" s="19"/>
      <c r="F9" s="19"/>
      <c r="G9" s="19"/>
      <c r="H9" s="18">
        <f>AVERAGE(0.60385,0.60304,0.60275)</f>
        <v>0.60321333333333327</v>
      </c>
      <c r="I9" s="18">
        <f>AVERAGE(0.63,0.63008,0.63)</f>
        <v>0.63002666666666662</v>
      </c>
      <c r="J9" s="19">
        <v>10</v>
      </c>
      <c r="K9" s="19">
        <f t="shared" si="1"/>
        <v>2.6813333333333356</v>
      </c>
      <c r="L9" s="18"/>
      <c r="M9" s="18"/>
      <c r="N9" s="21">
        <f t="shared" si="0"/>
        <v>0</v>
      </c>
      <c r="O9" s="19"/>
      <c r="P9" s="18"/>
      <c r="Q9" s="18"/>
      <c r="R9" s="19"/>
      <c r="S9" s="19"/>
      <c r="T9" s="18"/>
      <c r="U9" s="18"/>
      <c r="V9" s="19"/>
      <c r="W9" s="19"/>
      <c r="X9" s="18"/>
      <c r="Y9" s="18"/>
      <c r="Z9" s="12"/>
      <c r="AA9" s="19"/>
      <c r="AB9" s="12"/>
      <c r="AC9" s="12"/>
      <c r="AD9" s="12"/>
      <c r="AE9" s="19"/>
    </row>
    <row r="10" spans="1:31" hidden="1" x14ac:dyDescent="0.3">
      <c r="A10" s="20">
        <v>44412</v>
      </c>
      <c r="B10" s="20"/>
      <c r="C10" s="19"/>
      <c r="D10" s="19"/>
      <c r="E10" s="19"/>
      <c r="F10" s="19"/>
      <c r="G10" s="19"/>
      <c r="H10" s="18">
        <f>AVERAGE(0.60797,0.60778,0.6073)</f>
        <v>0.60768333333333324</v>
      </c>
      <c r="I10" s="18">
        <f>AVERAGE(0.616,0.61675,0.618)</f>
        <v>0.61691666666666667</v>
      </c>
      <c r="J10" s="19">
        <v>10</v>
      </c>
      <c r="K10" s="19">
        <f t="shared" si="1"/>
        <v>0.92333333333334267</v>
      </c>
      <c r="L10" s="18"/>
      <c r="M10" s="18"/>
      <c r="N10" s="21">
        <f t="shared" si="0"/>
        <v>0</v>
      </c>
      <c r="O10" s="19"/>
      <c r="P10" s="18"/>
      <c r="Q10" s="18"/>
      <c r="R10" s="19"/>
      <c r="S10" s="19"/>
      <c r="T10" s="18"/>
      <c r="U10" s="18"/>
      <c r="V10" s="19"/>
      <c r="W10" s="19"/>
      <c r="X10" s="18"/>
      <c r="Y10" s="18"/>
      <c r="Z10" s="12"/>
      <c r="AA10" s="19"/>
      <c r="AB10" s="12"/>
      <c r="AC10" s="12"/>
      <c r="AD10" s="12"/>
      <c r="AE10" s="19"/>
    </row>
    <row r="11" spans="1:31" hidden="1" x14ac:dyDescent="0.3">
      <c r="A11" s="20">
        <v>44413</v>
      </c>
      <c r="B11" s="20"/>
      <c r="C11" s="19"/>
      <c r="D11" s="19"/>
      <c r="E11" s="19"/>
      <c r="F11" s="19"/>
      <c r="G11" s="19"/>
      <c r="H11" s="18">
        <f>AVERAGE(0.62,0.621,0.621)</f>
        <v>0.6206666666666667</v>
      </c>
      <c r="I11" s="18">
        <v>0.61199999999999999</v>
      </c>
      <c r="J11" s="19">
        <v>10</v>
      </c>
      <c r="K11" s="19">
        <f t="shared" si="1"/>
        <v>-0.86666666666667114</v>
      </c>
      <c r="L11" s="18"/>
      <c r="M11" s="18"/>
      <c r="N11" s="21">
        <f t="shared" si="0"/>
        <v>0</v>
      </c>
      <c r="O11" s="19"/>
      <c r="P11" s="18"/>
      <c r="Q11" s="18"/>
      <c r="R11" s="19"/>
      <c r="S11" s="19"/>
      <c r="T11" s="18"/>
      <c r="U11" s="18"/>
      <c r="V11" s="19"/>
      <c r="W11" s="19"/>
      <c r="X11" s="18"/>
      <c r="Y11" s="18"/>
      <c r="Z11" s="12"/>
      <c r="AA11" s="19"/>
      <c r="AB11" s="12"/>
      <c r="AC11" s="12"/>
      <c r="AD11" s="12"/>
      <c r="AE11" s="19"/>
    </row>
    <row r="12" spans="1:31" hidden="1" x14ac:dyDescent="0.3">
      <c r="A12" s="20">
        <v>44414</v>
      </c>
      <c r="B12" s="20"/>
      <c r="C12" s="19"/>
      <c r="D12" s="19"/>
      <c r="E12" s="19"/>
      <c r="F12" s="19"/>
      <c r="G12" s="19"/>
      <c r="H12" s="18">
        <v>0.61099999999999999</v>
      </c>
      <c r="I12" s="18">
        <v>0.59699999999999998</v>
      </c>
      <c r="J12" s="19">
        <v>10</v>
      </c>
      <c r="K12" s="19">
        <f t="shared" si="1"/>
        <v>-1.4000000000000012</v>
      </c>
      <c r="L12" s="18"/>
      <c r="M12" s="18"/>
      <c r="N12" s="21">
        <f t="shared" si="0"/>
        <v>0</v>
      </c>
      <c r="O12" s="19"/>
      <c r="P12" s="18"/>
      <c r="Q12" s="18"/>
      <c r="R12" s="19"/>
      <c r="S12" s="19"/>
      <c r="T12" s="18"/>
      <c r="U12" s="18"/>
      <c r="V12" s="19"/>
      <c r="W12" s="19"/>
      <c r="X12" s="18"/>
      <c r="Y12" s="18"/>
      <c r="Z12" s="12"/>
      <c r="AA12" s="19"/>
      <c r="AB12" s="12"/>
      <c r="AC12" s="12"/>
      <c r="AD12" s="12"/>
      <c r="AE12" s="19"/>
    </row>
    <row r="13" spans="1:31" hidden="1" x14ac:dyDescent="0.3">
      <c r="A13" s="20">
        <v>44417</v>
      </c>
      <c r="B13" s="20"/>
      <c r="C13" s="19"/>
      <c r="D13" s="19"/>
      <c r="E13" s="19"/>
      <c r="F13" s="19"/>
      <c r="G13" s="19"/>
      <c r="H13" s="18">
        <v>0.61299999999999999</v>
      </c>
      <c r="I13" s="18">
        <v>0.60199999999999998</v>
      </c>
      <c r="J13" s="19">
        <v>10</v>
      </c>
      <c r="K13" s="19">
        <f t="shared" si="1"/>
        <v>-1.100000000000001</v>
      </c>
      <c r="L13" s="18"/>
      <c r="M13" s="18"/>
      <c r="N13" s="21">
        <f t="shared" si="0"/>
        <v>0</v>
      </c>
      <c r="O13" s="19"/>
      <c r="P13" s="18"/>
      <c r="Q13" s="18"/>
      <c r="R13" s="19"/>
      <c r="S13" s="19"/>
      <c r="T13" s="18"/>
      <c r="U13" s="18"/>
      <c r="V13" s="19"/>
      <c r="W13" s="19"/>
      <c r="X13" s="18"/>
      <c r="Y13" s="18"/>
      <c r="Z13" s="12"/>
      <c r="AA13" s="19"/>
      <c r="AB13" s="12"/>
      <c r="AC13" s="12"/>
      <c r="AD13" s="12"/>
      <c r="AE13" s="19"/>
    </row>
    <row r="14" spans="1:31" hidden="1" x14ac:dyDescent="0.3">
      <c r="A14" s="20">
        <v>44418</v>
      </c>
      <c r="B14" s="20"/>
      <c r="C14" s="19"/>
      <c r="D14" s="19"/>
      <c r="E14" s="19"/>
      <c r="F14" s="19"/>
      <c r="G14" s="19"/>
      <c r="H14" s="18">
        <v>0.61299999999999999</v>
      </c>
      <c r="I14" s="18">
        <v>0.60899999999999999</v>
      </c>
      <c r="J14" s="19">
        <v>10</v>
      </c>
      <c r="K14" s="19">
        <f t="shared" si="1"/>
        <v>-0.40000000000000036</v>
      </c>
      <c r="L14" s="18"/>
      <c r="M14" s="18"/>
      <c r="N14" s="21">
        <f t="shared" si="0"/>
        <v>0</v>
      </c>
      <c r="O14" s="19"/>
      <c r="P14" s="18"/>
      <c r="Q14" s="18"/>
      <c r="R14" s="19"/>
      <c r="S14" s="19"/>
      <c r="T14" s="18"/>
      <c r="U14" s="18"/>
      <c r="V14" s="19"/>
      <c r="W14" s="19"/>
      <c r="X14" s="18"/>
      <c r="Y14" s="18"/>
      <c r="Z14" s="12"/>
      <c r="AA14" s="19"/>
      <c r="AB14" s="12"/>
      <c r="AC14" s="12"/>
      <c r="AD14" s="12"/>
      <c r="AE14" s="19"/>
    </row>
    <row r="15" spans="1:31" hidden="1" x14ac:dyDescent="0.3">
      <c r="A15" s="20">
        <v>44419</v>
      </c>
      <c r="B15" s="20"/>
      <c r="C15" s="19"/>
      <c r="D15" s="19"/>
      <c r="E15" s="19"/>
      <c r="F15" s="19"/>
      <c r="G15" s="19"/>
      <c r="H15" s="18">
        <v>0.61</v>
      </c>
      <c r="I15" s="18">
        <v>0.61599999999999999</v>
      </c>
      <c r="J15" s="19">
        <v>10</v>
      </c>
      <c r="K15" s="19">
        <f t="shared" si="1"/>
        <v>0.60000000000000053</v>
      </c>
      <c r="L15" s="18"/>
      <c r="M15" s="18"/>
      <c r="N15" s="21">
        <f t="shared" si="0"/>
        <v>0</v>
      </c>
      <c r="O15" s="19"/>
      <c r="P15" s="18"/>
      <c r="Q15" s="18"/>
      <c r="R15" s="19"/>
      <c r="S15" s="19"/>
      <c r="T15" s="18"/>
      <c r="U15" s="18"/>
      <c r="V15" s="19"/>
      <c r="W15" s="19"/>
      <c r="X15" s="18"/>
      <c r="Y15" s="18"/>
      <c r="Z15" s="12"/>
      <c r="AA15" s="19"/>
      <c r="AB15" s="12"/>
      <c r="AC15" s="12"/>
      <c r="AD15" s="12"/>
      <c r="AE15" s="19"/>
    </row>
    <row r="16" spans="1:31" s="2" customFormat="1" hidden="1" x14ac:dyDescent="0.3">
      <c r="A16" s="22">
        <v>44425</v>
      </c>
      <c r="B16" s="22"/>
      <c r="C16" s="23"/>
      <c r="D16" s="23"/>
      <c r="E16" s="23"/>
      <c r="F16" s="23"/>
      <c r="G16" s="23"/>
      <c r="H16" s="24">
        <f>AVERAGE(0.614,0.616,0.616)</f>
        <v>0.6153333333333334</v>
      </c>
      <c r="I16" s="24">
        <f>AVERAGE(0.711,0.713,0.713)</f>
        <v>0.71233333333333337</v>
      </c>
      <c r="J16" s="23">
        <v>10</v>
      </c>
      <c r="K16" s="23">
        <f t="shared" si="1"/>
        <v>9.6999999999999975</v>
      </c>
      <c r="L16" s="24">
        <v>41.206000000000003</v>
      </c>
      <c r="M16" s="24">
        <v>41.246000000000002</v>
      </c>
      <c r="N16" s="21">
        <f t="shared" si="0"/>
        <v>3.9999999999999152</v>
      </c>
      <c r="O16" s="23"/>
      <c r="P16" s="24">
        <f>AVERAGE(0.617,0.619,0.62)</f>
        <v>0.61866666666666659</v>
      </c>
      <c r="Q16" s="24">
        <f>AVERAGE(0.641)</f>
        <v>0.64100000000000001</v>
      </c>
      <c r="R16" s="23">
        <v>10</v>
      </c>
      <c r="S16" s="26">
        <f t="shared" ref="S16" si="2">(Q16-P16)/R16*1000</f>
        <v>2.2333333333333427</v>
      </c>
      <c r="T16" s="27">
        <f>AVERAGE(47.73,47.731,47.729)</f>
        <v>47.73</v>
      </c>
      <c r="U16" s="27">
        <f>AVERAGE(47.746,47.744,47.745)</f>
        <v>47.745000000000005</v>
      </c>
      <c r="V16" s="28">
        <f>((P16+T16)-U16)/R16*1000</f>
        <v>60.366666666666191</v>
      </c>
      <c r="W16" s="23" t="s">
        <v>43</v>
      </c>
      <c r="X16" s="24"/>
      <c r="Y16" s="24"/>
      <c r="Z16" s="25"/>
      <c r="AA16" s="23"/>
      <c r="AB16" s="25"/>
      <c r="AC16" s="25"/>
      <c r="AD16" s="25"/>
      <c r="AE16" s="23"/>
    </row>
    <row r="17" spans="1:31" hidden="1" x14ac:dyDescent="0.3">
      <c r="A17" s="20">
        <v>44426</v>
      </c>
      <c r="B17" s="20"/>
      <c r="C17" s="19"/>
      <c r="D17" s="19"/>
      <c r="E17" s="19"/>
      <c r="F17" s="19"/>
      <c r="G17" s="19"/>
      <c r="H17" s="18">
        <v>0.61599999999999999</v>
      </c>
      <c r="I17" s="18">
        <v>0.63900000000000001</v>
      </c>
      <c r="J17" s="19">
        <v>5</v>
      </c>
      <c r="K17" s="19">
        <f>(I17-H17)/J17*1000</f>
        <v>4.6000000000000041</v>
      </c>
      <c r="L17" s="18">
        <v>47.774999999999999</v>
      </c>
      <c r="M17" s="18">
        <v>47.787999999999997</v>
      </c>
      <c r="N17" s="21">
        <f t="shared" si="0"/>
        <v>2.5999999999996248</v>
      </c>
      <c r="O17" s="19"/>
      <c r="P17" s="18"/>
      <c r="Q17" s="18"/>
      <c r="R17" s="19"/>
      <c r="S17" s="19"/>
      <c r="T17" s="18"/>
      <c r="U17" s="18"/>
      <c r="V17" s="21" t="e">
        <f t="shared" ref="V17:V43" si="3">((P17+T17)-U17)/R17*1000</f>
        <v>#DIV/0!</v>
      </c>
      <c r="W17" s="19"/>
      <c r="X17" s="18"/>
      <c r="Y17" s="18"/>
      <c r="Z17" s="12"/>
      <c r="AA17" s="19"/>
      <c r="AB17" s="12"/>
      <c r="AC17" s="12"/>
      <c r="AD17" s="12"/>
      <c r="AE17" s="19"/>
    </row>
    <row r="18" spans="1:31" hidden="1" x14ac:dyDescent="0.3">
      <c r="A18" s="20">
        <v>44432</v>
      </c>
      <c r="B18" s="20"/>
      <c r="C18" s="19"/>
      <c r="D18" s="19"/>
      <c r="E18" s="19"/>
      <c r="F18" s="19"/>
      <c r="G18" s="19"/>
      <c r="H18" s="18">
        <v>0.60299999999999998</v>
      </c>
      <c r="I18" s="18">
        <v>0.63300000000000001</v>
      </c>
      <c r="J18" s="19">
        <v>5</v>
      </c>
      <c r="K18" s="19">
        <f t="shared" si="1"/>
        <v>6.0000000000000053</v>
      </c>
      <c r="L18" s="18">
        <v>41.203000000000003</v>
      </c>
      <c r="M18" s="18"/>
      <c r="N18" s="21"/>
      <c r="O18" s="19"/>
      <c r="P18" s="18"/>
      <c r="Q18" s="18"/>
      <c r="R18" s="19"/>
      <c r="S18" s="19"/>
      <c r="T18" s="18"/>
      <c r="U18" s="18"/>
      <c r="V18" s="21" t="e">
        <f t="shared" si="3"/>
        <v>#DIV/0!</v>
      </c>
      <c r="W18" s="19"/>
      <c r="X18" s="18"/>
      <c r="Y18" s="18"/>
      <c r="Z18" s="12"/>
      <c r="AA18" s="19"/>
      <c r="AB18" s="12"/>
      <c r="AC18" s="12"/>
      <c r="AD18" s="12"/>
      <c r="AE18" s="19"/>
    </row>
    <row r="19" spans="1:31" hidden="1" x14ac:dyDescent="0.3">
      <c r="A19" s="20">
        <v>44433</v>
      </c>
      <c r="B19" s="20"/>
      <c r="C19" s="19"/>
      <c r="D19" s="19"/>
      <c r="E19" s="19"/>
      <c r="F19" s="19"/>
      <c r="G19" s="19"/>
      <c r="H19" s="18">
        <v>0.60599999999999998</v>
      </c>
      <c r="I19" s="18">
        <v>0.629</v>
      </c>
      <c r="J19" s="19">
        <v>5</v>
      </c>
      <c r="K19" s="19">
        <f t="shared" si="1"/>
        <v>4.6000000000000041</v>
      </c>
      <c r="L19" s="18">
        <v>50.829000000000001</v>
      </c>
      <c r="M19" s="18"/>
      <c r="N19" s="21"/>
      <c r="O19" s="19"/>
      <c r="P19" s="18"/>
      <c r="Q19" s="18"/>
      <c r="R19" s="19"/>
      <c r="S19" s="19"/>
      <c r="T19" s="18"/>
      <c r="U19" s="18"/>
      <c r="V19" s="21" t="e">
        <f t="shared" si="3"/>
        <v>#DIV/0!</v>
      </c>
      <c r="W19" s="19"/>
      <c r="X19" s="18"/>
      <c r="Y19" s="18"/>
      <c r="Z19" s="12"/>
      <c r="AA19" s="19"/>
      <c r="AB19" s="12"/>
      <c r="AC19" s="12"/>
      <c r="AD19" s="12"/>
      <c r="AE19" s="19"/>
    </row>
    <row r="20" spans="1:31" hidden="1" x14ac:dyDescent="0.3">
      <c r="A20" s="20">
        <v>44455</v>
      </c>
      <c r="B20" s="20"/>
      <c r="C20" s="19"/>
      <c r="D20" s="19"/>
      <c r="E20" s="19"/>
      <c r="F20" s="19"/>
      <c r="G20" s="19"/>
      <c r="H20" s="18">
        <v>0.60499999999999998</v>
      </c>
      <c r="I20" s="18">
        <v>0.64100000000000001</v>
      </c>
      <c r="J20" s="19">
        <v>5</v>
      </c>
      <c r="K20" s="19">
        <f t="shared" si="1"/>
        <v>7.2000000000000064</v>
      </c>
      <c r="L20" s="18">
        <v>47.774000000000001</v>
      </c>
      <c r="M20" s="18">
        <v>47.795000000000002</v>
      </c>
      <c r="N20" s="21">
        <f t="shared" si="0"/>
        <v>4.2000000000001592</v>
      </c>
      <c r="O20" s="19"/>
      <c r="P20" s="18"/>
      <c r="Q20" s="18"/>
      <c r="R20" s="19"/>
      <c r="S20" s="19"/>
      <c r="T20" s="18"/>
      <c r="U20" s="18"/>
      <c r="V20" s="21"/>
      <c r="W20" s="19"/>
      <c r="X20" s="18"/>
      <c r="Y20" s="18"/>
      <c r="Z20" s="12"/>
      <c r="AA20" s="19"/>
      <c r="AB20" s="12"/>
      <c r="AC20" s="12"/>
      <c r="AD20" s="12"/>
      <c r="AE20" s="19"/>
    </row>
    <row r="21" spans="1:31" hidden="1" x14ac:dyDescent="0.3">
      <c r="A21" s="20">
        <v>44462</v>
      </c>
      <c r="B21" s="20"/>
      <c r="C21" s="19"/>
      <c r="D21" s="19"/>
      <c r="E21" s="19"/>
      <c r="F21" s="19"/>
      <c r="G21" s="19"/>
      <c r="H21" s="18">
        <v>0.60399999999999998</v>
      </c>
      <c r="I21" s="18">
        <v>0.61399999999999999</v>
      </c>
      <c r="J21" s="19">
        <v>10</v>
      </c>
      <c r="K21" s="19">
        <f t="shared" si="1"/>
        <v>1.0000000000000009</v>
      </c>
      <c r="L21" s="18">
        <v>41.198</v>
      </c>
      <c r="M21" s="18">
        <v>41.206000000000003</v>
      </c>
      <c r="N21" s="21">
        <f t="shared" si="0"/>
        <v>0.80000000000026716</v>
      </c>
      <c r="O21" s="19"/>
      <c r="P21" s="18"/>
      <c r="Q21" s="18"/>
      <c r="R21" s="19"/>
      <c r="S21" s="19"/>
      <c r="T21" s="18"/>
      <c r="U21" s="18"/>
      <c r="V21" s="21"/>
      <c r="W21" s="19"/>
      <c r="X21" s="18"/>
      <c r="Y21" s="18"/>
      <c r="Z21" s="12"/>
      <c r="AA21" s="19"/>
      <c r="AB21" s="12"/>
      <c r="AC21" s="12"/>
      <c r="AD21" s="12"/>
      <c r="AE21" s="19"/>
    </row>
    <row r="22" spans="1:31" s="2" customFormat="1" hidden="1" x14ac:dyDescent="0.3">
      <c r="A22" s="22">
        <v>44474</v>
      </c>
      <c r="B22" s="22"/>
      <c r="C22" s="23"/>
      <c r="D22" s="23"/>
      <c r="E22" s="23"/>
      <c r="F22" s="23"/>
      <c r="G22" s="23"/>
      <c r="H22" s="24"/>
      <c r="I22" s="24"/>
      <c r="J22" s="23"/>
      <c r="K22" s="23" t="e">
        <f t="shared" si="1"/>
        <v>#DIV/0!</v>
      </c>
      <c r="L22" s="24"/>
      <c r="M22" s="24"/>
      <c r="N22" s="21" t="e">
        <f t="shared" si="0"/>
        <v>#DIV/0!</v>
      </c>
      <c r="O22" s="23"/>
      <c r="P22" s="24">
        <v>0.58599999999999997</v>
      </c>
      <c r="Q22" s="24">
        <v>0.746</v>
      </c>
      <c r="R22" s="23">
        <v>10</v>
      </c>
      <c r="S22" s="23">
        <f t="shared" ref="S22:S37" si="4">(Q22-P22)/R22*1000</f>
        <v>16.000000000000004</v>
      </c>
      <c r="T22" s="24">
        <v>47.774000000000001</v>
      </c>
      <c r="U22" s="24">
        <v>47.847999999999999</v>
      </c>
      <c r="V22" s="28">
        <f>((P22+T22)-U22)/R22*1000</f>
        <v>51.200000000000045</v>
      </c>
      <c r="W22" s="23"/>
      <c r="X22" s="24"/>
      <c r="Y22" s="24"/>
      <c r="Z22" s="25"/>
      <c r="AA22" s="23"/>
      <c r="AB22" s="25"/>
      <c r="AC22" s="25"/>
      <c r="AD22" s="25"/>
      <c r="AE22" s="23"/>
    </row>
    <row r="23" spans="1:31" ht="17.399999999999999" hidden="1" x14ac:dyDescent="0.35">
      <c r="A23" s="7">
        <v>44475</v>
      </c>
      <c r="B23" s="7"/>
      <c r="C23" s="19"/>
      <c r="D23" s="19"/>
      <c r="E23" s="19"/>
      <c r="F23" s="19"/>
      <c r="G23" s="19"/>
      <c r="H23" s="18">
        <v>0.58299999999999996</v>
      </c>
      <c r="I23" s="18">
        <v>0.63600000000000001</v>
      </c>
      <c r="J23" s="19">
        <v>10</v>
      </c>
      <c r="K23" s="19">
        <f>(I23-H23)/J23*1000</f>
        <v>5.3000000000000043</v>
      </c>
      <c r="L23" s="18">
        <v>49.655000000000001</v>
      </c>
      <c r="M23" s="18">
        <v>49.68</v>
      </c>
      <c r="N23" s="21">
        <f>(M23-L23)/J23*1000</f>
        <v>2.4999999999998579</v>
      </c>
      <c r="O23" s="29" t="s">
        <v>44</v>
      </c>
      <c r="P23" s="18"/>
      <c r="Q23" s="18"/>
      <c r="R23" s="19"/>
      <c r="S23" s="19" t="e">
        <f t="shared" si="4"/>
        <v>#DIV/0!</v>
      </c>
      <c r="T23" s="18"/>
      <c r="U23" s="18"/>
      <c r="V23" s="21" t="e">
        <f t="shared" si="3"/>
        <v>#DIV/0!</v>
      </c>
      <c r="W23" s="19"/>
      <c r="X23" s="18"/>
      <c r="Y23" s="18"/>
      <c r="Z23" s="12"/>
      <c r="AA23" s="19"/>
      <c r="AB23" s="12"/>
      <c r="AC23" s="12"/>
      <c r="AD23" s="12"/>
      <c r="AE23" s="19"/>
    </row>
    <row r="24" spans="1:31" ht="17.399999999999999" hidden="1" x14ac:dyDescent="0.35">
      <c r="A24" s="7">
        <v>44477</v>
      </c>
      <c r="B24" s="7"/>
      <c r="C24" s="19"/>
      <c r="D24" s="19"/>
      <c r="E24" s="19"/>
      <c r="F24" s="19"/>
      <c r="G24" s="19"/>
      <c r="H24" s="18">
        <v>0.59599999999999997</v>
      </c>
      <c r="I24" s="18">
        <v>0.626</v>
      </c>
      <c r="J24" s="19">
        <v>10</v>
      </c>
      <c r="K24" s="19">
        <f t="shared" si="1"/>
        <v>3.0000000000000027</v>
      </c>
      <c r="L24" s="18">
        <v>47.741</v>
      </c>
      <c r="M24" s="18">
        <v>47.750999999999998</v>
      </c>
      <c r="N24" s="21">
        <f t="shared" ref="N24:N38" si="5">(M24-L24)/J24*1000</f>
        <v>0.99999999999980094</v>
      </c>
      <c r="O24" s="19"/>
      <c r="P24" s="18"/>
      <c r="Q24" s="18"/>
      <c r="R24" s="19"/>
      <c r="S24" s="19" t="e">
        <f t="shared" si="4"/>
        <v>#DIV/0!</v>
      </c>
      <c r="T24" s="18"/>
      <c r="U24" s="18"/>
      <c r="V24" s="21" t="e">
        <f t="shared" si="3"/>
        <v>#DIV/0!</v>
      </c>
      <c r="W24" s="19"/>
      <c r="X24" s="18"/>
      <c r="Y24" s="18"/>
      <c r="Z24" s="12"/>
      <c r="AA24" s="19"/>
      <c r="AB24" s="12"/>
      <c r="AC24" s="12"/>
      <c r="AD24" s="12"/>
      <c r="AE24" s="19"/>
    </row>
    <row r="25" spans="1:31" ht="17.399999999999999" hidden="1" x14ac:dyDescent="0.35">
      <c r="A25" s="7">
        <v>44480</v>
      </c>
      <c r="B25" s="7"/>
      <c r="C25" s="19"/>
      <c r="D25" s="19"/>
      <c r="E25" s="19"/>
      <c r="F25" s="19"/>
      <c r="G25" s="19"/>
      <c r="H25" s="18">
        <v>0.60199999999999998</v>
      </c>
      <c r="I25" s="18">
        <v>0.62</v>
      </c>
      <c r="J25" s="19">
        <v>10</v>
      </c>
      <c r="K25" s="19">
        <f t="shared" si="1"/>
        <v>1.8000000000000016</v>
      </c>
      <c r="L25" s="18">
        <v>47.774999999999999</v>
      </c>
      <c r="M25" s="18">
        <v>47.784999999999997</v>
      </c>
      <c r="N25" s="21">
        <f t="shared" si="5"/>
        <v>0.99999999999980094</v>
      </c>
      <c r="O25" s="19"/>
      <c r="P25" s="18"/>
      <c r="Q25" s="18"/>
      <c r="R25" s="19"/>
      <c r="S25" s="19" t="e">
        <f t="shared" si="4"/>
        <v>#DIV/0!</v>
      </c>
      <c r="T25" s="18"/>
      <c r="U25" s="18"/>
      <c r="V25" s="21" t="e">
        <f t="shared" si="3"/>
        <v>#DIV/0!</v>
      </c>
      <c r="W25" s="19"/>
      <c r="X25" s="18"/>
      <c r="Y25" s="18"/>
      <c r="Z25" s="12"/>
      <c r="AA25" s="19"/>
      <c r="AB25" s="12"/>
      <c r="AC25" s="12"/>
      <c r="AD25" s="12"/>
      <c r="AE25" s="19"/>
    </row>
    <row r="26" spans="1:31" ht="17.399999999999999" hidden="1" x14ac:dyDescent="0.35">
      <c r="A26" s="7">
        <v>44481</v>
      </c>
      <c r="B26" s="7"/>
      <c r="C26" s="19"/>
      <c r="D26" s="19"/>
      <c r="E26" s="19"/>
      <c r="F26" s="19"/>
      <c r="G26" s="19"/>
      <c r="H26" s="18">
        <v>0.60099999999999998</v>
      </c>
      <c r="I26" s="18">
        <v>0.61699999999999999</v>
      </c>
      <c r="J26" s="19">
        <v>10</v>
      </c>
      <c r="K26" s="19">
        <f t="shared" si="1"/>
        <v>1.6000000000000014</v>
      </c>
      <c r="L26" s="18">
        <v>49.652000000000001</v>
      </c>
      <c r="M26" s="18"/>
      <c r="N26" s="21"/>
      <c r="O26" s="19"/>
      <c r="P26" s="18"/>
      <c r="Q26" s="18"/>
      <c r="R26" s="19"/>
      <c r="S26" s="19" t="e">
        <f t="shared" si="4"/>
        <v>#DIV/0!</v>
      </c>
      <c r="T26" s="18"/>
      <c r="U26" s="18"/>
      <c r="V26" s="21" t="e">
        <f t="shared" si="3"/>
        <v>#DIV/0!</v>
      </c>
      <c r="W26" s="19"/>
      <c r="X26" s="18"/>
      <c r="Y26" s="18"/>
      <c r="Z26" s="12"/>
      <c r="AA26" s="19"/>
      <c r="AB26" s="12"/>
      <c r="AC26" s="12"/>
      <c r="AD26" s="12"/>
      <c r="AE26" s="19"/>
    </row>
    <row r="27" spans="1:31" ht="17.399999999999999" hidden="1" x14ac:dyDescent="0.35">
      <c r="A27" s="7">
        <v>44481</v>
      </c>
      <c r="B27" s="7"/>
      <c r="C27" s="19"/>
      <c r="D27" s="19"/>
      <c r="E27" s="19"/>
      <c r="F27" s="19"/>
      <c r="G27" s="19"/>
      <c r="H27" s="18">
        <v>0.60199999999999998</v>
      </c>
      <c r="I27" s="18">
        <v>0.63400000000000001</v>
      </c>
      <c r="J27" s="19">
        <v>10</v>
      </c>
      <c r="K27" s="19">
        <f t="shared" si="1"/>
        <v>3.2000000000000028</v>
      </c>
      <c r="L27" s="18">
        <v>47.732999999999997</v>
      </c>
      <c r="M27" s="18">
        <v>47.744</v>
      </c>
      <c r="N27" s="21">
        <f t="shared" si="5"/>
        <v>1.1000000000002785</v>
      </c>
      <c r="O27" s="19"/>
      <c r="P27" s="18"/>
      <c r="Q27" s="18"/>
      <c r="R27" s="19"/>
      <c r="S27" s="19" t="e">
        <f t="shared" si="4"/>
        <v>#DIV/0!</v>
      </c>
      <c r="T27" s="18"/>
      <c r="U27" s="18"/>
      <c r="V27" s="21" t="e">
        <f t="shared" si="3"/>
        <v>#DIV/0!</v>
      </c>
      <c r="W27" s="19"/>
      <c r="X27" s="18"/>
      <c r="Y27" s="18"/>
      <c r="Z27" s="12"/>
      <c r="AA27" s="19"/>
      <c r="AB27" s="12"/>
      <c r="AC27" s="12"/>
      <c r="AD27" s="12"/>
      <c r="AE27" s="19"/>
    </row>
    <row r="28" spans="1:31" ht="17.399999999999999" hidden="1" x14ac:dyDescent="0.35">
      <c r="A28" s="7">
        <v>44501</v>
      </c>
      <c r="B28" s="7"/>
      <c r="C28" s="19"/>
      <c r="D28" s="19"/>
      <c r="E28" s="19"/>
      <c r="F28" s="19"/>
      <c r="G28" s="19"/>
      <c r="H28" s="18">
        <f>AVERAGE(0.337,0.342,0.344)</f>
        <v>0.34100000000000003</v>
      </c>
      <c r="I28" s="18">
        <v>0.35799999999999998</v>
      </c>
      <c r="J28" s="19">
        <v>5</v>
      </c>
      <c r="K28" s="19">
        <f t="shared" si="1"/>
        <v>3.3999999999999919</v>
      </c>
      <c r="L28" s="18">
        <v>47.771000000000001</v>
      </c>
      <c r="M28" s="18">
        <v>47.774000000000001</v>
      </c>
      <c r="N28" s="21">
        <f t="shared" si="5"/>
        <v>0.60000000000002274</v>
      </c>
      <c r="O28" s="19"/>
      <c r="P28" s="18"/>
      <c r="Q28" s="18"/>
      <c r="R28" s="19"/>
      <c r="S28" s="19" t="e">
        <f t="shared" si="4"/>
        <v>#DIV/0!</v>
      </c>
      <c r="T28" s="18"/>
      <c r="U28" s="18"/>
      <c r="V28" s="21" t="e">
        <f t="shared" si="3"/>
        <v>#DIV/0!</v>
      </c>
      <c r="W28" s="19"/>
      <c r="X28" s="18"/>
      <c r="Y28" s="18"/>
      <c r="Z28" s="12"/>
      <c r="AA28" s="19"/>
      <c r="AB28" s="12"/>
      <c r="AC28" s="12"/>
      <c r="AD28" s="12"/>
      <c r="AE28" s="19"/>
    </row>
    <row r="29" spans="1:31" ht="17.399999999999999" hidden="1" x14ac:dyDescent="0.35">
      <c r="A29" s="7">
        <v>44502</v>
      </c>
      <c r="B29" s="7"/>
      <c r="C29" s="19"/>
      <c r="D29" s="19"/>
      <c r="E29" s="19"/>
      <c r="F29" s="19"/>
      <c r="G29" s="19"/>
      <c r="H29" s="18">
        <v>0.35799999999999998</v>
      </c>
      <c r="I29" s="18">
        <v>0.36699999999999999</v>
      </c>
      <c r="J29" s="19">
        <v>5</v>
      </c>
      <c r="K29" s="19">
        <f t="shared" si="1"/>
        <v>1.8000000000000016</v>
      </c>
      <c r="L29" s="18">
        <v>47.73</v>
      </c>
      <c r="M29" s="18">
        <v>47.728999999999999</v>
      </c>
      <c r="N29" s="21">
        <f t="shared" si="5"/>
        <v>-0.19999999999953388</v>
      </c>
      <c r="O29" s="19"/>
      <c r="P29" s="18"/>
      <c r="Q29" s="18"/>
      <c r="R29" s="19"/>
      <c r="S29" s="19" t="e">
        <f t="shared" si="4"/>
        <v>#DIV/0!</v>
      </c>
      <c r="T29" s="18"/>
      <c r="U29" s="18"/>
      <c r="V29" s="21" t="e">
        <f t="shared" si="3"/>
        <v>#DIV/0!</v>
      </c>
      <c r="W29" s="19"/>
      <c r="X29" s="18"/>
      <c r="Y29" s="18"/>
      <c r="Z29" s="12"/>
      <c r="AA29" s="19"/>
      <c r="AB29" s="12"/>
      <c r="AC29" s="12"/>
      <c r="AD29" s="12"/>
      <c r="AE29" s="19"/>
    </row>
    <row r="30" spans="1:31" ht="17.399999999999999" hidden="1" x14ac:dyDescent="0.35">
      <c r="A30" s="7">
        <v>44509</v>
      </c>
      <c r="B30" s="7"/>
      <c r="C30" s="19"/>
      <c r="D30" s="19"/>
      <c r="E30" s="19"/>
      <c r="F30" s="19"/>
      <c r="G30" s="19"/>
      <c r="H30" s="18">
        <v>0.95599999999999996</v>
      </c>
      <c r="I30" s="18">
        <v>1.0109999999999999</v>
      </c>
      <c r="J30" s="19">
        <v>20</v>
      </c>
      <c r="K30" s="19">
        <f t="shared" si="1"/>
        <v>2.7499999999999969</v>
      </c>
      <c r="L30" s="18">
        <v>47.728999999999999</v>
      </c>
      <c r="M30" s="18">
        <v>47.74</v>
      </c>
      <c r="N30" s="21">
        <f t="shared" si="5"/>
        <v>0.55000000000013927</v>
      </c>
      <c r="O30" s="19"/>
      <c r="P30" s="18"/>
      <c r="Q30" s="18"/>
      <c r="R30" s="19"/>
      <c r="S30" s="19" t="e">
        <f t="shared" si="4"/>
        <v>#DIV/0!</v>
      </c>
      <c r="T30" s="18"/>
      <c r="U30" s="18"/>
      <c r="V30" s="21" t="e">
        <f t="shared" si="3"/>
        <v>#DIV/0!</v>
      </c>
      <c r="W30" s="19"/>
      <c r="X30" s="18"/>
      <c r="Y30" s="18"/>
      <c r="Z30" s="12"/>
      <c r="AA30" s="19"/>
      <c r="AB30" s="12"/>
      <c r="AC30" s="12"/>
      <c r="AD30" s="12"/>
      <c r="AE30" s="19"/>
    </row>
    <row r="31" spans="1:31" ht="17.399999999999999" hidden="1" x14ac:dyDescent="0.35">
      <c r="A31" s="7">
        <v>44513</v>
      </c>
      <c r="B31" s="7"/>
      <c r="C31" s="19"/>
      <c r="D31" s="19"/>
      <c r="E31" s="19"/>
      <c r="F31" s="19"/>
      <c r="G31" s="19"/>
      <c r="H31" s="18">
        <v>0.94399999999999995</v>
      </c>
      <c r="I31" s="18">
        <v>0.98499999999999999</v>
      </c>
      <c r="J31" s="19">
        <v>20</v>
      </c>
      <c r="K31" s="19">
        <f t="shared" si="1"/>
        <v>2.050000000000002</v>
      </c>
      <c r="L31" s="18">
        <v>49.651000000000003</v>
      </c>
      <c r="M31" s="18">
        <v>49.655999999999999</v>
      </c>
      <c r="N31" s="21">
        <f t="shared" si="5"/>
        <v>0.24999999999977265</v>
      </c>
      <c r="O31" s="19"/>
      <c r="P31" s="18"/>
      <c r="Q31" s="18"/>
      <c r="R31" s="19"/>
      <c r="S31" s="19" t="e">
        <f t="shared" si="4"/>
        <v>#DIV/0!</v>
      </c>
      <c r="T31" s="18"/>
      <c r="U31" s="18"/>
      <c r="V31" s="21" t="e">
        <f t="shared" si="3"/>
        <v>#DIV/0!</v>
      </c>
      <c r="W31" s="19"/>
      <c r="X31" s="18"/>
      <c r="Y31" s="18"/>
      <c r="Z31" s="12"/>
      <c r="AA31" s="19"/>
      <c r="AB31" s="12"/>
      <c r="AC31" s="12"/>
      <c r="AD31" s="12"/>
      <c r="AE31" s="19"/>
    </row>
    <row r="32" spans="1:31" ht="17.399999999999999" hidden="1" x14ac:dyDescent="0.35">
      <c r="A32" s="7">
        <v>44516</v>
      </c>
      <c r="B32" s="7"/>
      <c r="C32" s="19"/>
      <c r="D32" s="19"/>
      <c r="E32" s="19"/>
      <c r="F32" s="19"/>
      <c r="G32" s="19"/>
      <c r="H32" s="30">
        <v>0.32390000000000002</v>
      </c>
      <c r="I32" s="30">
        <v>0.33189999999999997</v>
      </c>
      <c r="J32" s="19">
        <v>20</v>
      </c>
      <c r="K32" s="19">
        <f t="shared" si="1"/>
        <v>0.39999999999999758</v>
      </c>
      <c r="L32" s="30">
        <v>50.1571</v>
      </c>
      <c r="M32" s="30">
        <v>50.161679999999997</v>
      </c>
      <c r="N32" s="21">
        <f>(M32-L32)/J32*1000</f>
        <v>0.2289999999998571</v>
      </c>
      <c r="O32" s="19"/>
      <c r="P32" s="18"/>
      <c r="Q32" s="18"/>
      <c r="R32" s="19"/>
      <c r="S32" s="19" t="e">
        <f t="shared" si="4"/>
        <v>#DIV/0!</v>
      </c>
      <c r="T32" s="18"/>
      <c r="U32" s="18"/>
      <c r="V32" s="21" t="e">
        <f t="shared" si="3"/>
        <v>#DIV/0!</v>
      </c>
      <c r="W32" s="19"/>
      <c r="X32" s="18"/>
      <c r="Y32" s="18"/>
      <c r="Z32" s="12"/>
      <c r="AA32" s="19"/>
      <c r="AB32" s="12"/>
      <c r="AC32" s="12"/>
      <c r="AD32" s="12"/>
      <c r="AE32" s="19"/>
    </row>
    <row r="33" spans="1:31" ht="17.399999999999999" hidden="1" x14ac:dyDescent="0.35">
      <c r="A33" s="7">
        <v>44518</v>
      </c>
      <c r="B33" s="7"/>
      <c r="C33" s="19"/>
      <c r="D33" s="19"/>
      <c r="E33" s="19"/>
      <c r="F33" s="19"/>
      <c r="G33" s="19"/>
      <c r="H33" s="30">
        <v>0.33200000000000002</v>
      </c>
      <c r="I33" s="30">
        <v>0.34050000000000002</v>
      </c>
      <c r="J33" s="19">
        <v>20</v>
      </c>
      <c r="K33" s="19">
        <f t="shared" si="1"/>
        <v>0.42500000000000038</v>
      </c>
      <c r="L33" s="30">
        <v>49.735700000000001</v>
      </c>
      <c r="M33" s="30">
        <v>49.742440000000002</v>
      </c>
      <c r="N33" s="21">
        <f t="shared" si="5"/>
        <v>0.33700000000003172</v>
      </c>
      <c r="O33" s="19"/>
      <c r="P33" s="18"/>
      <c r="Q33" s="18"/>
      <c r="R33" s="19"/>
      <c r="S33" s="19" t="e">
        <f t="shared" si="4"/>
        <v>#DIV/0!</v>
      </c>
      <c r="T33" s="18"/>
      <c r="U33" s="18"/>
      <c r="V33" s="21" t="e">
        <f t="shared" si="3"/>
        <v>#DIV/0!</v>
      </c>
      <c r="W33" s="19"/>
      <c r="X33" s="18"/>
      <c r="Y33" s="18"/>
      <c r="Z33" s="12"/>
      <c r="AA33" s="19"/>
      <c r="AB33" s="12"/>
      <c r="AC33" s="12"/>
      <c r="AD33" s="12"/>
      <c r="AE33" s="19"/>
    </row>
    <row r="34" spans="1:31" ht="17.399999999999999" hidden="1" x14ac:dyDescent="0.35">
      <c r="A34" s="7">
        <v>44545</v>
      </c>
      <c r="B34" s="7"/>
      <c r="C34" s="31"/>
      <c r="D34" s="19"/>
      <c r="E34" s="19"/>
      <c r="F34" s="19"/>
      <c r="G34" s="19"/>
      <c r="H34" s="30">
        <v>0.99080000000000001</v>
      </c>
      <c r="I34" s="30">
        <v>1.0061899999999999</v>
      </c>
      <c r="J34" s="19">
        <v>25</v>
      </c>
      <c r="K34" s="19">
        <f t="shared" si="1"/>
        <v>0.61559999999999615</v>
      </c>
      <c r="L34" s="30">
        <v>48.0379</v>
      </c>
      <c r="M34" s="30">
        <v>48.047499999999999</v>
      </c>
      <c r="N34" s="21">
        <f t="shared" si="5"/>
        <v>0.38399999999995771</v>
      </c>
      <c r="O34" s="19"/>
      <c r="P34" s="18"/>
      <c r="Q34" s="18"/>
      <c r="R34" s="19"/>
      <c r="S34" s="19" t="e">
        <f t="shared" si="4"/>
        <v>#DIV/0!</v>
      </c>
      <c r="T34" s="18"/>
      <c r="U34" s="18"/>
      <c r="V34" s="21" t="e">
        <f t="shared" si="3"/>
        <v>#DIV/0!</v>
      </c>
      <c r="W34" s="19"/>
      <c r="X34" s="18"/>
      <c r="Y34" s="18"/>
      <c r="Z34" s="12"/>
      <c r="AA34" s="19"/>
      <c r="AB34" s="12"/>
      <c r="AC34" s="12"/>
      <c r="AD34" s="12"/>
      <c r="AE34" s="19"/>
    </row>
    <row r="35" spans="1:31" ht="17.399999999999999" hidden="1" x14ac:dyDescent="0.35">
      <c r="A35" s="7">
        <v>44550</v>
      </c>
      <c r="B35" s="7"/>
      <c r="C35" s="31"/>
      <c r="D35" s="19"/>
      <c r="E35" s="19"/>
      <c r="F35" s="19"/>
      <c r="G35" s="19"/>
      <c r="H35" s="30">
        <v>0.97689999999999999</v>
      </c>
      <c r="I35" s="30">
        <v>1.02328</v>
      </c>
      <c r="J35" s="19">
        <v>25</v>
      </c>
      <c r="K35" s="19">
        <f t="shared" si="1"/>
        <v>1.8551999999999991</v>
      </c>
      <c r="L35" s="30">
        <v>50.401899999999998</v>
      </c>
      <c r="M35" s="30">
        <v>50.413400000000003</v>
      </c>
      <c r="N35" s="21">
        <f t="shared" si="5"/>
        <v>0.46000000000020691</v>
      </c>
      <c r="O35" s="19"/>
      <c r="P35" s="18"/>
      <c r="Q35" s="18"/>
      <c r="R35" s="19"/>
      <c r="S35" s="19" t="e">
        <f t="shared" si="4"/>
        <v>#DIV/0!</v>
      </c>
      <c r="T35" s="18"/>
      <c r="U35" s="18"/>
      <c r="V35" s="21" t="e">
        <f t="shared" si="3"/>
        <v>#DIV/0!</v>
      </c>
      <c r="W35" s="19"/>
      <c r="X35" s="18"/>
      <c r="Y35" s="18"/>
      <c r="Z35" s="12"/>
      <c r="AA35" s="19"/>
      <c r="AB35" s="12"/>
      <c r="AC35" s="12"/>
      <c r="AD35" s="12"/>
      <c r="AE35" s="19"/>
    </row>
    <row r="36" spans="1:31" ht="17.399999999999999" hidden="1" x14ac:dyDescent="0.35">
      <c r="A36" s="7">
        <v>44573</v>
      </c>
      <c r="B36" s="7"/>
      <c r="C36" s="20"/>
      <c r="D36" s="12"/>
      <c r="E36" s="12"/>
      <c r="F36" s="12"/>
      <c r="G36" s="12"/>
      <c r="H36" s="18">
        <v>0.99619999999999997</v>
      </c>
      <c r="I36" s="18">
        <v>1.0044</v>
      </c>
      <c r="J36" s="12">
        <v>25</v>
      </c>
      <c r="K36" s="19">
        <f t="shared" si="1"/>
        <v>0.3279999999999994</v>
      </c>
      <c r="L36" s="18">
        <v>48.040799999999997</v>
      </c>
      <c r="M36" s="18">
        <v>48.043399999999998</v>
      </c>
      <c r="N36" s="21">
        <f t="shared" si="5"/>
        <v>0.10400000000004184</v>
      </c>
      <c r="O36" s="19"/>
      <c r="P36" s="32"/>
      <c r="Q36" s="32"/>
      <c r="R36" s="12"/>
      <c r="S36" s="19" t="e">
        <f t="shared" si="4"/>
        <v>#DIV/0!</v>
      </c>
      <c r="T36" s="32"/>
      <c r="U36" s="32"/>
      <c r="V36" s="21" t="e">
        <f t="shared" si="3"/>
        <v>#DIV/0!</v>
      </c>
      <c r="W36" s="12"/>
      <c r="X36" s="18"/>
      <c r="Y36" s="18"/>
      <c r="Z36" s="12"/>
      <c r="AA36" s="19"/>
      <c r="AB36" s="12"/>
      <c r="AC36" s="12"/>
      <c r="AD36" s="12"/>
      <c r="AE36" s="19"/>
    </row>
    <row r="37" spans="1:31" ht="17.399999999999999" hidden="1" x14ac:dyDescent="0.35">
      <c r="A37" s="7">
        <v>44579</v>
      </c>
      <c r="B37" s="7"/>
      <c r="C37" s="20"/>
      <c r="D37" s="12"/>
      <c r="E37" s="12"/>
      <c r="F37" s="12"/>
      <c r="G37" s="12"/>
      <c r="H37" s="18">
        <v>0.99929999999999997</v>
      </c>
      <c r="I37" s="18">
        <v>1.0104</v>
      </c>
      <c r="J37" s="12">
        <v>25</v>
      </c>
      <c r="K37" s="19">
        <f t="shared" si="1"/>
        <v>0.44399999999999995</v>
      </c>
      <c r="L37" s="18">
        <v>48.038400000000003</v>
      </c>
      <c r="M37" s="18">
        <v>48.04</v>
      </c>
      <c r="N37" s="21">
        <f t="shared" si="5"/>
        <v>6.3999999999850843E-2</v>
      </c>
      <c r="O37" s="19"/>
      <c r="P37" s="32"/>
      <c r="Q37" s="32"/>
      <c r="R37" s="12"/>
      <c r="S37" s="19" t="e">
        <f t="shared" si="4"/>
        <v>#DIV/0!</v>
      </c>
      <c r="T37" s="32"/>
      <c r="U37" s="32"/>
      <c r="V37" s="21" t="e">
        <f t="shared" si="3"/>
        <v>#DIV/0!</v>
      </c>
      <c r="W37" s="12"/>
      <c r="X37" s="18"/>
      <c r="Y37" s="18"/>
      <c r="Z37" s="12"/>
      <c r="AA37" s="19"/>
      <c r="AB37" s="12"/>
      <c r="AC37" s="12"/>
      <c r="AD37" s="12"/>
      <c r="AE37" s="19"/>
    </row>
    <row r="38" spans="1:31" ht="17.399999999999999" hidden="1" x14ac:dyDescent="0.35">
      <c r="A38" s="7">
        <v>44586</v>
      </c>
      <c r="B38" s="7"/>
      <c r="C38" s="20"/>
      <c r="D38" s="12"/>
      <c r="E38" s="12"/>
      <c r="F38" s="12"/>
      <c r="G38" s="12"/>
      <c r="H38" s="18">
        <v>1.0051000000000001</v>
      </c>
      <c r="I38" s="18">
        <v>1.0130999999999999</v>
      </c>
      <c r="J38" s="12">
        <v>25</v>
      </c>
      <c r="K38" s="19">
        <f t="shared" si="1"/>
        <v>0.3199999999999914</v>
      </c>
      <c r="L38" s="18">
        <v>54.314900000000002</v>
      </c>
      <c r="M38" s="18">
        <v>54.316899999999997</v>
      </c>
      <c r="N38" s="21">
        <f t="shared" si="5"/>
        <v>7.9999999999813554E-2</v>
      </c>
      <c r="O38" s="19"/>
      <c r="P38" s="32"/>
      <c r="Q38" s="32"/>
      <c r="R38" s="12"/>
      <c r="S38" s="12"/>
      <c r="T38" s="32"/>
      <c r="U38" s="32"/>
      <c r="V38" s="21" t="e">
        <f t="shared" si="3"/>
        <v>#DIV/0!</v>
      </c>
      <c r="W38" s="12"/>
      <c r="X38" s="18"/>
      <c r="Y38" s="18"/>
      <c r="Z38" s="12"/>
      <c r="AA38" s="19"/>
      <c r="AB38" s="12"/>
      <c r="AC38" s="12"/>
      <c r="AD38" s="12"/>
      <c r="AE38" s="19"/>
    </row>
    <row r="39" spans="1:31" ht="17.399999999999999" hidden="1" x14ac:dyDescent="0.35">
      <c r="A39" s="7">
        <v>44600</v>
      </c>
      <c r="B39" s="7"/>
      <c r="C39" s="20"/>
      <c r="D39" s="12"/>
      <c r="E39" s="12"/>
      <c r="F39" s="12"/>
      <c r="G39" s="12"/>
      <c r="H39" s="30">
        <v>1.0004999999999999</v>
      </c>
      <c r="I39" s="30">
        <v>1.0548</v>
      </c>
      <c r="J39" s="12">
        <v>25</v>
      </c>
      <c r="K39" s="19">
        <f t="shared" ref="K39:K45" si="6">(I39-H39)/J39*1000</f>
        <v>2.1720000000000006</v>
      </c>
      <c r="L39" s="30">
        <v>48.033299999999997</v>
      </c>
      <c r="M39" s="30">
        <v>48.042099999999998</v>
      </c>
      <c r="N39" s="21">
        <f t="shared" ref="N39:N65" si="7">(M39-L39)/J39*1000</f>
        <v>0.35200000000003229</v>
      </c>
      <c r="O39" s="19"/>
      <c r="P39" s="32"/>
      <c r="Q39" s="32"/>
      <c r="R39" s="12"/>
      <c r="S39" s="12"/>
      <c r="T39" s="32"/>
      <c r="U39" s="32"/>
      <c r="V39" s="21" t="e">
        <f t="shared" si="3"/>
        <v>#DIV/0!</v>
      </c>
      <c r="W39" s="12"/>
      <c r="X39" s="18"/>
      <c r="Y39" s="18"/>
      <c r="Z39" s="12"/>
      <c r="AA39" s="19"/>
      <c r="AB39" s="12"/>
      <c r="AC39" s="12"/>
      <c r="AD39" s="12"/>
      <c r="AE39" s="19"/>
    </row>
    <row r="40" spans="1:31" ht="17.399999999999999" hidden="1" x14ac:dyDescent="0.35">
      <c r="A40" s="7">
        <v>44615</v>
      </c>
      <c r="B40" s="7"/>
      <c r="C40" s="20"/>
      <c r="D40" s="12"/>
      <c r="E40" s="12"/>
      <c r="F40" s="12"/>
      <c r="G40" s="12"/>
      <c r="H40" s="18">
        <v>1.0016499999999999</v>
      </c>
      <c r="I40" s="18">
        <v>1.0206</v>
      </c>
      <c r="J40" s="12">
        <v>25</v>
      </c>
      <c r="K40" s="19">
        <f t="shared" si="6"/>
        <v>0.7580000000000009</v>
      </c>
      <c r="L40" s="18">
        <v>47.293300000000002</v>
      </c>
      <c r="M40" s="18">
        <v>47.294780000000003</v>
      </c>
      <c r="N40" s="21">
        <f t="shared" si="7"/>
        <v>5.920000000003256E-2</v>
      </c>
      <c r="O40" s="19"/>
      <c r="P40" s="32"/>
      <c r="Q40" s="32"/>
      <c r="R40" s="12"/>
      <c r="S40" s="12"/>
      <c r="T40" s="32"/>
      <c r="U40" s="32"/>
      <c r="V40" s="21" t="e">
        <f t="shared" si="3"/>
        <v>#DIV/0!</v>
      </c>
      <c r="W40" s="12"/>
      <c r="X40" s="18"/>
      <c r="Y40" s="18"/>
      <c r="Z40" s="12"/>
      <c r="AA40" s="19"/>
      <c r="AB40" s="12"/>
      <c r="AC40" s="12"/>
      <c r="AD40" s="12"/>
      <c r="AE40" s="19"/>
    </row>
    <row r="41" spans="1:31" ht="17.399999999999999" hidden="1" x14ac:dyDescent="0.35">
      <c r="A41" s="7">
        <v>44629</v>
      </c>
      <c r="B41" s="7"/>
      <c r="C41" s="20"/>
      <c r="D41" s="12"/>
      <c r="E41" s="12"/>
      <c r="F41" s="12"/>
      <c r="G41" s="12"/>
      <c r="H41" s="18">
        <v>0.99680000000000002</v>
      </c>
      <c r="I41" s="30">
        <v>1.0109999999999999</v>
      </c>
      <c r="J41" s="12">
        <v>25</v>
      </c>
      <c r="K41" s="19">
        <f t="shared" si="6"/>
        <v>0.56799999999999518</v>
      </c>
      <c r="L41" s="30">
        <v>47.289180000000002</v>
      </c>
      <c r="M41" s="18">
        <v>47.2913</v>
      </c>
      <c r="N41" s="21">
        <f t="shared" si="7"/>
        <v>8.4799999999916054E-2</v>
      </c>
      <c r="O41" s="19"/>
      <c r="P41" s="32"/>
      <c r="Q41" s="32"/>
      <c r="R41" s="12"/>
      <c r="S41" s="12"/>
      <c r="T41" s="32"/>
      <c r="U41" s="32"/>
      <c r="V41" s="21" t="e">
        <f t="shared" si="3"/>
        <v>#DIV/0!</v>
      </c>
      <c r="W41" s="12"/>
      <c r="X41" s="18"/>
      <c r="Y41" s="18"/>
      <c r="Z41" s="12"/>
      <c r="AA41" s="19"/>
      <c r="AB41" s="12"/>
      <c r="AC41" s="12"/>
      <c r="AD41" s="12"/>
      <c r="AE41" s="19"/>
    </row>
    <row r="42" spans="1:31" ht="17.399999999999999" hidden="1" x14ac:dyDescent="0.35">
      <c r="A42" s="7">
        <v>44635</v>
      </c>
      <c r="B42" s="7"/>
      <c r="C42" s="20"/>
      <c r="D42" s="12"/>
      <c r="E42" s="12"/>
      <c r="F42" s="12"/>
      <c r="G42" s="12"/>
      <c r="H42" s="18">
        <v>0.98719999999999997</v>
      </c>
      <c r="I42" s="18">
        <v>1.0294099999999999</v>
      </c>
      <c r="J42" s="12">
        <v>25</v>
      </c>
      <c r="K42" s="19">
        <f t="shared" si="6"/>
        <v>1.6883999999999988</v>
      </c>
      <c r="L42" s="18">
        <v>49.763489999999997</v>
      </c>
      <c r="M42" s="18">
        <v>49.776730000000001</v>
      </c>
      <c r="N42" s="21">
        <f t="shared" si="7"/>
        <v>0.52960000000012997</v>
      </c>
      <c r="O42" s="19"/>
      <c r="P42" s="32"/>
      <c r="Q42" s="32"/>
      <c r="R42" s="12"/>
      <c r="S42" s="12"/>
      <c r="T42" s="32"/>
      <c r="U42" s="32"/>
      <c r="V42" s="21" t="e">
        <f t="shared" si="3"/>
        <v>#DIV/0!</v>
      </c>
      <c r="W42" s="12"/>
      <c r="X42" s="18"/>
      <c r="Y42" s="18"/>
      <c r="Z42" s="12"/>
      <c r="AA42" s="19"/>
      <c r="AB42" s="12"/>
      <c r="AC42" s="12"/>
      <c r="AD42" s="12"/>
      <c r="AE42" s="19"/>
    </row>
    <row r="43" spans="1:31" ht="17.399999999999999" hidden="1" x14ac:dyDescent="0.35">
      <c r="A43" s="7">
        <v>44642</v>
      </c>
      <c r="B43" s="7"/>
      <c r="C43" s="20"/>
      <c r="D43" s="12"/>
      <c r="E43" s="12"/>
      <c r="F43" s="12"/>
      <c r="G43" s="12"/>
      <c r="H43" s="18">
        <v>0.99760000000000004</v>
      </c>
      <c r="I43" s="30">
        <v>1.0218</v>
      </c>
      <c r="J43" s="12">
        <v>25</v>
      </c>
      <c r="K43" s="19">
        <f t="shared" si="6"/>
        <v>0.96799999999999997</v>
      </c>
      <c r="L43" s="30">
        <v>50.179960000000001</v>
      </c>
      <c r="M43" s="18">
        <v>50.185409999999997</v>
      </c>
      <c r="N43" s="21">
        <f t="shared" si="7"/>
        <v>0.2179999999998472</v>
      </c>
      <c r="O43" s="19"/>
      <c r="P43" s="32"/>
      <c r="Q43" s="32"/>
      <c r="R43" s="12"/>
      <c r="S43" s="12"/>
      <c r="T43" s="32"/>
      <c r="U43" s="32"/>
      <c r="V43" s="21" t="e">
        <f t="shared" si="3"/>
        <v>#DIV/0!</v>
      </c>
      <c r="W43" s="12"/>
      <c r="X43" s="18"/>
      <c r="Y43" s="18"/>
      <c r="Z43" s="12"/>
      <c r="AA43" s="19"/>
      <c r="AB43" s="12"/>
      <c r="AC43" s="12"/>
      <c r="AD43" s="12"/>
      <c r="AE43" s="19"/>
    </row>
    <row r="44" spans="1:31" ht="17.399999999999999" hidden="1" x14ac:dyDescent="0.35">
      <c r="A44" s="7">
        <v>44649</v>
      </c>
      <c r="B44" s="7"/>
      <c r="C44" s="12"/>
      <c r="D44" s="12"/>
      <c r="E44" s="12"/>
      <c r="F44" s="12"/>
      <c r="G44" s="12"/>
      <c r="H44" s="18">
        <v>0.996</v>
      </c>
      <c r="I44" s="18">
        <v>1.0237000000000001</v>
      </c>
      <c r="J44" s="12">
        <v>25</v>
      </c>
      <c r="K44" s="19">
        <f t="shared" si="6"/>
        <v>1.1080000000000023</v>
      </c>
      <c r="L44" s="18">
        <v>50.174999999999997</v>
      </c>
      <c r="M44" s="18">
        <v>50.179349999999999</v>
      </c>
      <c r="N44" s="21">
        <f t="shared" si="7"/>
        <v>0.17400000000009186</v>
      </c>
      <c r="O44" s="19"/>
      <c r="P44" s="12"/>
      <c r="Q44" s="12"/>
      <c r="R44" s="12"/>
      <c r="S44" s="12"/>
      <c r="T44" s="32"/>
      <c r="U44" s="32"/>
      <c r="V44" s="12"/>
      <c r="W44" s="12"/>
      <c r="X44" s="18"/>
      <c r="Y44" s="18"/>
      <c r="Z44" s="12"/>
      <c r="AA44" s="19"/>
      <c r="AB44" s="12"/>
      <c r="AC44" s="12"/>
      <c r="AD44" s="12"/>
      <c r="AE44" s="19"/>
    </row>
    <row r="45" spans="1:31" ht="17.399999999999999" hidden="1" x14ac:dyDescent="0.35">
      <c r="A45" s="7">
        <v>44656</v>
      </c>
      <c r="B45" s="7"/>
      <c r="C45" s="12"/>
      <c r="D45" s="12"/>
      <c r="E45" s="12"/>
      <c r="F45" s="12"/>
      <c r="G45" s="12"/>
      <c r="H45" s="18">
        <v>1.0014000000000001</v>
      </c>
      <c r="I45" s="18">
        <v>1.0157</v>
      </c>
      <c r="J45" s="12">
        <v>25</v>
      </c>
      <c r="K45" s="19">
        <f t="shared" si="6"/>
        <v>0.57199999999999918</v>
      </c>
      <c r="L45" s="18">
        <v>50.172190000000001</v>
      </c>
      <c r="M45" s="18">
        <v>50.174790000000002</v>
      </c>
      <c r="N45" s="21">
        <f t="shared" si="7"/>
        <v>0.10400000000004184</v>
      </c>
      <c r="O45" s="19"/>
      <c r="P45" s="12"/>
      <c r="Q45" s="12"/>
      <c r="R45" s="12"/>
      <c r="S45" s="12"/>
      <c r="T45" s="32"/>
      <c r="U45" s="32"/>
      <c r="V45" s="12"/>
      <c r="W45" s="12"/>
      <c r="X45" s="18"/>
      <c r="Y45" s="18"/>
      <c r="Z45" s="12"/>
      <c r="AA45" s="19"/>
      <c r="AB45" s="12"/>
      <c r="AC45" s="12"/>
      <c r="AD45" s="12"/>
      <c r="AE45" s="19"/>
    </row>
    <row r="46" spans="1:31" ht="17.399999999999999" hidden="1" x14ac:dyDescent="0.35">
      <c r="A46" s="7">
        <v>44663</v>
      </c>
      <c r="B46" s="7"/>
      <c r="C46" s="12"/>
      <c r="D46" s="12"/>
      <c r="E46" s="12"/>
      <c r="F46" s="12"/>
      <c r="G46" s="12"/>
      <c r="H46" s="18">
        <v>1.008</v>
      </c>
      <c r="I46" s="18">
        <v>1.0189999999999999</v>
      </c>
      <c r="J46" s="12">
        <v>20</v>
      </c>
      <c r="K46" s="19">
        <f t="shared" ref="K46:K108" si="8">(I46-H46)/J46*1000</f>
        <v>0.54999999999999494</v>
      </c>
      <c r="L46" s="18">
        <v>49.656999999999996</v>
      </c>
      <c r="M46" s="18">
        <v>49.658000000000001</v>
      </c>
      <c r="N46" s="21">
        <f t="shared" si="7"/>
        <v>5.0000000000238742E-2</v>
      </c>
      <c r="O46" s="12"/>
      <c r="P46" s="12"/>
      <c r="Q46" s="12"/>
      <c r="R46" s="12"/>
      <c r="S46" s="12"/>
      <c r="T46" s="32"/>
      <c r="U46" s="32"/>
      <c r="V46" s="12"/>
      <c r="W46" s="12"/>
      <c r="X46" s="18"/>
      <c r="Y46" s="18"/>
      <c r="Z46" s="12"/>
      <c r="AA46" s="19"/>
      <c r="AB46" s="12"/>
      <c r="AC46" s="12"/>
      <c r="AD46" s="12"/>
      <c r="AE46" s="19"/>
    </row>
    <row r="47" spans="1:31" s="2" customFormat="1" ht="17.399999999999999" x14ac:dyDescent="0.35">
      <c r="A47" s="6">
        <v>44677</v>
      </c>
      <c r="B47" s="6"/>
      <c r="C47" s="25"/>
      <c r="D47" s="25"/>
      <c r="E47" s="25"/>
      <c r="F47" s="25"/>
      <c r="G47" s="25"/>
      <c r="H47" s="24">
        <f>(1.028+1.03+1.031)/3</f>
        <v>1.0296666666666665</v>
      </c>
      <c r="I47" s="24">
        <f>(1.037+1.039+1.038)/3</f>
        <v>1.038</v>
      </c>
      <c r="J47" s="25">
        <v>25</v>
      </c>
      <c r="K47" s="23">
        <f t="shared" si="8"/>
        <v>0.33333333333334103</v>
      </c>
      <c r="L47" s="24">
        <f>(49.652+49.65+49.653)/3</f>
        <v>49.651666666666664</v>
      </c>
      <c r="M47" s="24">
        <f>(49.657+49.658+49.658)/3</f>
        <v>49.657666666666671</v>
      </c>
      <c r="N47" s="23">
        <f t="shared" si="7"/>
        <v>0.24000000000029331</v>
      </c>
      <c r="O47" s="23">
        <f>K47/N47</f>
        <v>1.3888888888872235</v>
      </c>
      <c r="P47" s="25"/>
      <c r="Q47" s="25"/>
      <c r="R47" s="25"/>
      <c r="S47" s="25"/>
      <c r="T47" s="33"/>
      <c r="U47" s="33"/>
      <c r="V47" s="25"/>
      <c r="W47" s="25"/>
      <c r="X47" s="51"/>
      <c r="Y47" s="51"/>
      <c r="Z47" s="41"/>
      <c r="AA47" s="45"/>
      <c r="AB47" s="41"/>
      <c r="AC47" s="41"/>
      <c r="AD47" s="41"/>
      <c r="AE47" s="45"/>
    </row>
    <row r="48" spans="1:31" ht="17.399999999999999" x14ac:dyDescent="0.35">
      <c r="A48" s="7">
        <v>44678</v>
      </c>
      <c r="B48" s="7"/>
      <c r="C48" s="12"/>
      <c r="D48" s="12"/>
      <c r="E48" s="12"/>
      <c r="F48" s="12"/>
      <c r="G48" s="12"/>
      <c r="H48" s="18">
        <f>(0.976+0.975+0.975)/3</f>
        <v>0.97533333333333339</v>
      </c>
      <c r="I48" s="18">
        <f>(0.983+0.985+0.985)/3</f>
        <v>0.98433333333333328</v>
      </c>
      <c r="J48" s="12">
        <v>25</v>
      </c>
      <c r="K48" s="19">
        <f t="shared" si="8"/>
        <v>0.35999999999999588</v>
      </c>
      <c r="L48" s="18">
        <f>(47.773+47.772+47.772)/3</f>
        <v>47.772333333333336</v>
      </c>
      <c r="M48" s="18">
        <f>(47.771+47.77+47.771)/3</f>
        <v>47.770666666666671</v>
      </c>
      <c r="N48" s="34"/>
      <c r="O48" s="34"/>
      <c r="P48" s="12"/>
      <c r="Q48" s="12"/>
      <c r="R48" s="12"/>
      <c r="S48" s="12"/>
      <c r="T48" s="32"/>
      <c r="U48" s="32"/>
      <c r="V48" s="12"/>
      <c r="W48" s="12"/>
      <c r="X48" s="51"/>
      <c r="Y48" s="51"/>
      <c r="Z48" s="41"/>
      <c r="AA48" s="45"/>
      <c r="AB48" s="41"/>
      <c r="AC48" s="41"/>
      <c r="AD48" s="41"/>
      <c r="AE48" s="45"/>
    </row>
    <row r="49" spans="1:39" ht="17.399999999999999" x14ac:dyDescent="0.35">
      <c r="A49" s="7">
        <v>44679</v>
      </c>
      <c r="B49" s="7"/>
      <c r="C49" s="12"/>
      <c r="D49" s="12"/>
      <c r="E49" s="12"/>
      <c r="F49" s="12"/>
      <c r="G49" s="12"/>
      <c r="H49" s="18">
        <f>(0.979+0.978+0.981)/3</f>
        <v>0.97933333333333328</v>
      </c>
      <c r="I49" s="18">
        <f>(1.051+1.051)/2</f>
        <v>1.0509999999999999</v>
      </c>
      <c r="J49" s="12">
        <v>25</v>
      </c>
      <c r="K49" s="19">
        <f t="shared" si="8"/>
        <v>2.8666666666666663</v>
      </c>
      <c r="L49" s="18">
        <f>(47.73+47.729+47.731)/3</f>
        <v>47.73</v>
      </c>
      <c r="M49" s="18">
        <f>(47.753+47.752+47.753)/3</f>
        <v>47.752666666666663</v>
      </c>
      <c r="N49" s="19">
        <f t="shared" si="7"/>
        <v>0.90666666666663787</v>
      </c>
      <c r="O49" s="19">
        <f t="shared" ref="O49:O69" si="9">K49/N49</f>
        <v>3.1617647058824527</v>
      </c>
      <c r="P49" s="12"/>
      <c r="Q49" s="12"/>
      <c r="R49" s="12"/>
      <c r="S49" s="12"/>
      <c r="T49" s="32"/>
      <c r="U49" s="32"/>
      <c r="V49" s="12"/>
      <c r="W49" s="12"/>
      <c r="X49" s="51"/>
      <c r="Y49" s="51"/>
      <c r="Z49" s="41"/>
      <c r="AA49" s="45"/>
      <c r="AB49" s="41"/>
      <c r="AC49" s="41"/>
      <c r="AD49" s="41"/>
      <c r="AE49" s="45"/>
    </row>
    <row r="50" spans="1:39" ht="17.399999999999999" x14ac:dyDescent="0.35">
      <c r="A50" s="7">
        <v>44679</v>
      </c>
      <c r="B50" s="7"/>
      <c r="C50" s="12"/>
      <c r="D50" s="12"/>
      <c r="E50" s="12"/>
      <c r="F50" s="12"/>
      <c r="G50" s="12"/>
      <c r="H50" s="18">
        <f>(0.977+0.976+0.977)/3</f>
        <v>0.97666666666666657</v>
      </c>
      <c r="I50" s="18">
        <f>(1.051+1.05+1.053)/3</f>
        <v>1.0513333333333332</v>
      </c>
      <c r="J50" s="12">
        <v>25</v>
      </c>
      <c r="K50" s="19">
        <f t="shared" si="8"/>
        <v>2.9866666666666664</v>
      </c>
      <c r="L50" s="18">
        <f>(41.17+41.17)/2</f>
        <v>41.17</v>
      </c>
      <c r="M50" s="18">
        <f>(41.198+41.199+41.199)/3</f>
        <v>41.198666666666661</v>
      </c>
      <c r="N50" s="19">
        <f t="shared" si="7"/>
        <v>1.1466666666663627</v>
      </c>
      <c r="O50" s="19">
        <f t="shared" si="9"/>
        <v>2.604651162791388</v>
      </c>
      <c r="P50" s="12"/>
      <c r="Q50" s="12"/>
      <c r="R50" s="12"/>
      <c r="S50" s="12"/>
      <c r="T50" s="32"/>
      <c r="U50" s="32"/>
      <c r="V50" s="12"/>
      <c r="W50" s="12"/>
      <c r="X50" s="51"/>
      <c r="Y50" s="51"/>
      <c r="Z50" s="41"/>
      <c r="AA50" s="45"/>
      <c r="AB50" s="41"/>
      <c r="AC50" s="41"/>
      <c r="AD50" s="41"/>
      <c r="AE50" s="45"/>
    </row>
    <row r="51" spans="1:39" ht="17.399999999999999" x14ac:dyDescent="0.35">
      <c r="A51" s="7">
        <v>44680</v>
      </c>
      <c r="B51" s="7"/>
      <c r="C51" s="12"/>
      <c r="D51" s="12"/>
      <c r="E51" s="12"/>
      <c r="F51" s="12"/>
      <c r="G51" s="12"/>
      <c r="H51" s="18">
        <f>(0.984+0.986+0.986)/3</f>
        <v>0.98533333333333328</v>
      </c>
      <c r="I51" s="18">
        <f>(1.022+1.023+1.025)/3</f>
        <v>1.0233333333333332</v>
      </c>
      <c r="J51" s="12">
        <v>25</v>
      </c>
      <c r="K51" s="19">
        <f t="shared" si="8"/>
        <v>1.5199999999999969</v>
      </c>
      <c r="L51" s="18">
        <f>(77.972+77.97+77.969)/3</f>
        <v>77.970333333333329</v>
      </c>
      <c r="M51" s="18">
        <f>(77.979+77.978+77.978)/3</f>
        <v>77.978333333333339</v>
      </c>
      <c r="N51" s="19">
        <f t="shared" si="7"/>
        <v>0.32000000000039108</v>
      </c>
      <c r="O51" s="19">
        <f t="shared" si="9"/>
        <v>4.7499999999941851</v>
      </c>
      <c r="P51" s="12"/>
      <c r="Q51" s="12"/>
      <c r="R51" s="12"/>
      <c r="S51" s="12"/>
      <c r="T51" s="12"/>
      <c r="U51" s="12"/>
      <c r="V51" s="12"/>
      <c r="W51" s="12"/>
      <c r="X51" s="51"/>
      <c r="Y51" s="51"/>
      <c r="Z51" s="41"/>
      <c r="AA51" s="45"/>
      <c r="AB51" s="41"/>
      <c r="AC51" s="41"/>
      <c r="AD51" s="41"/>
      <c r="AE51" s="45"/>
    </row>
    <row r="52" spans="1:39" ht="17.399999999999999" x14ac:dyDescent="0.35">
      <c r="A52" s="7">
        <v>44683</v>
      </c>
      <c r="B52" s="7"/>
      <c r="C52" s="12"/>
      <c r="D52" s="12"/>
      <c r="E52" s="12"/>
      <c r="F52" s="12"/>
      <c r="G52" s="12"/>
      <c r="H52" s="18"/>
      <c r="I52" s="18"/>
      <c r="J52" s="12"/>
      <c r="K52" s="19"/>
      <c r="L52" s="18">
        <v>47.77</v>
      </c>
      <c r="M52" s="18">
        <v>47.786999999999999</v>
      </c>
      <c r="N52" s="19"/>
      <c r="O52" s="19"/>
      <c r="P52" s="12"/>
      <c r="Q52" s="12"/>
      <c r="R52" s="12"/>
      <c r="S52" s="12"/>
      <c r="T52" s="12"/>
      <c r="U52" s="12"/>
      <c r="V52" s="12"/>
      <c r="W52" s="12"/>
      <c r="X52" s="51"/>
      <c r="Y52" s="51"/>
      <c r="Z52" s="41"/>
      <c r="AA52" s="45"/>
      <c r="AB52" s="41"/>
      <c r="AC52" s="41"/>
      <c r="AD52" s="41"/>
      <c r="AE52" s="45"/>
    </row>
    <row r="53" spans="1:39" ht="17.399999999999999" x14ac:dyDescent="0.35">
      <c r="A53" s="7">
        <v>44685</v>
      </c>
      <c r="B53" s="7"/>
      <c r="C53" s="12"/>
      <c r="D53" s="12"/>
      <c r="E53" s="12"/>
      <c r="F53" s="12"/>
      <c r="G53" s="12"/>
      <c r="H53" s="18">
        <v>0.99399999999999999</v>
      </c>
      <c r="I53" s="18">
        <f>(1.038+1.039+1.039)/3</f>
        <v>1.0386666666666666</v>
      </c>
      <c r="J53" s="12">
        <v>25</v>
      </c>
      <c r="K53" s="19">
        <f t="shared" si="8"/>
        <v>1.7866666666666653</v>
      </c>
      <c r="L53" s="18">
        <f>(49.655+49.654+49.654)/3</f>
        <v>49.654333333333334</v>
      </c>
      <c r="M53" s="18">
        <f>(49.669+49.672+49.671)/3</f>
        <v>49.670666666666669</v>
      </c>
      <c r="N53" s="19">
        <f t="shared" si="7"/>
        <v>0.65333333333342125</v>
      </c>
      <c r="O53" s="19">
        <f t="shared" si="9"/>
        <v>2.7346938775506504</v>
      </c>
      <c r="P53" s="12"/>
      <c r="Q53" s="12"/>
      <c r="R53" s="12"/>
      <c r="S53" s="12"/>
      <c r="T53" s="12"/>
      <c r="U53" s="12"/>
      <c r="V53" s="12"/>
      <c r="W53" s="12"/>
      <c r="X53" s="51"/>
      <c r="Y53" s="51"/>
      <c r="Z53" s="41"/>
      <c r="AA53" s="45"/>
      <c r="AB53" s="41"/>
      <c r="AC53" s="41"/>
      <c r="AD53" s="41"/>
      <c r="AE53" s="45"/>
    </row>
    <row r="54" spans="1:39" ht="17.399999999999999" x14ac:dyDescent="0.35">
      <c r="A54" s="7">
        <v>44686</v>
      </c>
      <c r="B54" s="7"/>
      <c r="C54" s="12"/>
      <c r="D54" s="12"/>
      <c r="E54" s="12"/>
      <c r="F54" s="12"/>
      <c r="G54" s="12"/>
      <c r="H54" s="18">
        <f>(1.002+1.004+1.004)/3</f>
        <v>1.0033333333333334</v>
      </c>
      <c r="I54" s="18">
        <f>(1.091+1.093+1.094)/3</f>
        <v>1.0926666666666669</v>
      </c>
      <c r="J54" s="12">
        <v>20</v>
      </c>
      <c r="K54" s="19">
        <f t="shared" si="8"/>
        <v>4.4666666666666739</v>
      </c>
      <c r="L54" s="18">
        <f>(47.729+47.728+47.729)/3</f>
        <v>47.728666666666662</v>
      </c>
      <c r="M54" s="18">
        <v>47.768000000000001</v>
      </c>
      <c r="N54" s="19">
        <f t="shared" si="7"/>
        <v>1.9666666666669383</v>
      </c>
      <c r="O54" s="19">
        <f t="shared" si="9"/>
        <v>2.2711864406776558</v>
      </c>
      <c r="P54" s="12"/>
      <c r="Q54" s="12"/>
      <c r="R54" s="12"/>
      <c r="S54" s="12"/>
      <c r="T54" s="12"/>
      <c r="U54" s="12"/>
      <c r="V54" s="12"/>
      <c r="W54" s="12"/>
      <c r="X54" s="51"/>
      <c r="Y54" s="51"/>
      <c r="Z54" s="41"/>
      <c r="AA54" s="45"/>
      <c r="AB54" s="41"/>
      <c r="AC54" s="41"/>
      <c r="AD54" s="41"/>
      <c r="AE54" s="45"/>
    </row>
    <row r="55" spans="1:39" ht="17.399999999999999" x14ac:dyDescent="0.35">
      <c r="A55" s="7">
        <v>44687</v>
      </c>
      <c r="B55" s="7"/>
      <c r="C55" s="12"/>
      <c r="D55" s="12"/>
      <c r="E55" s="12"/>
      <c r="F55" s="12"/>
      <c r="G55" s="12"/>
      <c r="H55" s="18"/>
      <c r="I55" s="18"/>
      <c r="J55" s="12"/>
      <c r="K55" s="19"/>
      <c r="L55" s="18">
        <v>41.17</v>
      </c>
      <c r="M55" s="18">
        <v>41.198</v>
      </c>
      <c r="N55" s="19"/>
      <c r="O55" s="19"/>
      <c r="P55" s="12"/>
      <c r="Q55" s="12"/>
      <c r="R55" s="12"/>
      <c r="S55" s="12"/>
      <c r="T55" s="12"/>
      <c r="U55" s="12"/>
      <c r="V55" s="12"/>
      <c r="W55" s="12"/>
      <c r="X55" s="51"/>
      <c r="Y55" s="51"/>
      <c r="Z55" s="41"/>
      <c r="AA55" s="45"/>
      <c r="AB55" s="41"/>
      <c r="AC55" s="41"/>
      <c r="AD55" s="41"/>
      <c r="AE55" s="45"/>
    </row>
    <row r="56" spans="1:39" ht="17.399999999999999" x14ac:dyDescent="0.35">
      <c r="A56" s="7">
        <v>44690</v>
      </c>
      <c r="B56" s="7"/>
      <c r="C56" s="12"/>
      <c r="D56" s="12"/>
      <c r="E56" s="12"/>
      <c r="F56" s="12"/>
      <c r="G56" s="12"/>
      <c r="H56" s="18">
        <v>1.004</v>
      </c>
      <c r="I56" s="18">
        <v>1.095</v>
      </c>
      <c r="J56" s="12">
        <v>20</v>
      </c>
      <c r="K56" s="19">
        <f t="shared" si="8"/>
        <v>4.5499999999999989</v>
      </c>
      <c r="L56" s="18">
        <v>47.771999999999998</v>
      </c>
      <c r="M56" s="18">
        <v>47.811999999999998</v>
      </c>
      <c r="N56" s="19">
        <f t="shared" si="7"/>
        <v>1.9999999999999576</v>
      </c>
      <c r="O56" s="19">
        <f t="shared" si="9"/>
        <v>2.2750000000000479</v>
      </c>
      <c r="P56" s="12"/>
      <c r="Q56" s="12"/>
      <c r="R56" s="12"/>
      <c r="S56" s="12"/>
      <c r="T56" s="12"/>
      <c r="U56" s="12"/>
      <c r="V56" s="12"/>
      <c r="W56" s="12"/>
      <c r="X56" s="51"/>
      <c r="Y56" s="51"/>
      <c r="Z56" s="41"/>
      <c r="AA56" s="45"/>
      <c r="AB56" s="41"/>
      <c r="AC56" s="41"/>
      <c r="AD56" s="41"/>
      <c r="AE56" s="45"/>
    </row>
    <row r="57" spans="1:39" ht="17.399999999999999" x14ac:dyDescent="0.35">
      <c r="A57" s="7">
        <v>44691</v>
      </c>
      <c r="B57" s="7"/>
      <c r="C57" s="12"/>
      <c r="D57" s="12"/>
      <c r="E57" s="12"/>
      <c r="F57" s="12"/>
      <c r="G57" s="12"/>
      <c r="H57" s="18">
        <v>1.0109999999999999</v>
      </c>
      <c r="I57" s="18">
        <v>1.153</v>
      </c>
      <c r="J57" s="12">
        <v>30</v>
      </c>
      <c r="K57" s="19">
        <f t="shared" si="8"/>
        <v>4.7333333333333378</v>
      </c>
      <c r="L57" s="18">
        <v>49.652999999999999</v>
      </c>
      <c r="M57" s="18">
        <v>49.725000000000001</v>
      </c>
      <c r="N57" s="19">
        <f t="shared" si="7"/>
        <v>2.4000000000000909</v>
      </c>
      <c r="O57" s="19">
        <f t="shared" si="9"/>
        <v>1.9722222222221493</v>
      </c>
      <c r="P57" s="12"/>
      <c r="Q57" s="12"/>
      <c r="R57" s="12"/>
      <c r="S57" s="12"/>
      <c r="T57" s="12"/>
      <c r="U57" s="12"/>
      <c r="V57" s="12"/>
      <c r="W57" s="12"/>
      <c r="X57" s="51"/>
      <c r="Y57" s="51"/>
      <c r="Z57" s="41"/>
      <c r="AA57" s="45"/>
      <c r="AB57" s="41"/>
      <c r="AC57" s="41"/>
      <c r="AD57" s="41"/>
      <c r="AE57" s="45"/>
      <c r="AH57" t="s">
        <v>50</v>
      </c>
    </row>
    <row r="58" spans="1:39" ht="17.399999999999999" x14ac:dyDescent="0.35">
      <c r="A58" s="7">
        <v>44692</v>
      </c>
      <c r="B58" s="7"/>
      <c r="C58" s="12"/>
      <c r="D58" s="12"/>
      <c r="E58" s="12"/>
      <c r="F58" s="12"/>
      <c r="G58" s="12"/>
      <c r="H58" s="18">
        <v>1.0109999999999999</v>
      </c>
      <c r="I58" s="18">
        <v>1.119</v>
      </c>
      <c r="J58" s="12">
        <v>20</v>
      </c>
      <c r="K58" s="19">
        <f t="shared" si="8"/>
        <v>5.4000000000000048</v>
      </c>
      <c r="L58" s="18">
        <v>154.768</v>
      </c>
      <c r="M58" s="18">
        <f>(154.822+154.823+154.825)/3</f>
        <v>154.82333333333332</v>
      </c>
      <c r="N58" s="19">
        <f t="shared" si="7"/>
        <v>2.7666666666661399</v>
      </c>
      <c r="O58" s="19">
        <f t="shared" si="9"/>
        <v>1.951807228916036</v>
      </c>
      <c r="P58" s="12"/>
      <c r="Q58" s="12"/>
      <c r="R58" s="12"/>
      <c r="S58" s="12"/>
      <c r="T58" s="12"/>
      <c r="U58" s="12"/>
      <c r="V58" s="21"/>
      <c r="W58" s="12"/>
      <c r="X58" s="51"/>
      <c r="Y58" s="51"/>
      <c r="Z58" s="41"/>
      <c r="AA58" s="45"/>
      <c r="AB58" s="41"/>
      <c r="AC58" s="41"/>
      <c r="AD58" s="41"/>
      <c r="AE58" s="45"/>
      <c r="AH58">
        <v>30</v>
      </c>
      <c r="AJ58">
        <v>50.831000000000003</v>
      </c>
      <c r="AK58">
        <v>51.055999999999997</v>
      </c>
      <c r="AL58" s="3">
        <f>(AK58-AJ58)/AH58*1000</f>
        <v>7.4999999999998108</v>
      </c>
      <c r="AM58" t="s">
        <v>47</v>
      </c>
    </row>
    <row r="59" spans="1:39" ht="17.399999999999999" x14ac:dyDescent="0.35">
      <c r="A59" s="7">
        <v>44693</v>
      </c>
      <c r="B59" s="7"/>
      <c r="C59" s="12"/>
      <c r="D59" s="12"/>
      <c r="E59" s="12"/>
      <c r="F59" s="12"/>
      <c r="G59" s="12"/>
      <c r="H59" s="18">
        <v>1.028</v>
      </c>
      <c r="I59" s="18">
        <f>(1.042+1.044+1.045)/3</f>
        <v>1.0436666666666667</v>
      </c>
      <c r="J59" s="12">
        <v>20</v>
      </c>
      <c r="K59" s="34">
        <f t="shared" si="8"/>
        <v>0.78333333333333588</v>
      </c>
      <c r="L59" s="18">
        <v>77.968999999999994</v>
      </c>
      <c r="M59" s="18">
        <v>77.983000000000004</v>
      </c>
      <c r="N59" s="19">
        <f t="shared" si="7"/>
        <v>0.70000000000050022</v>
      </c>
      <c r="O59" s="19">
        <f t="shared" si="9"/>
        <v>1.119047619046823</v>
      </c>
      <c r="P59" s="12"/>
      <c r="Q59" s="12"/>
      <c r="R59" s="12"/>
      <c r="S59" s="12"/>
      <c r="T59" s="12"/>
      <c r="U59" s="12"/>
      <c r="V59" s="21"/>
      <c r="W59" s="12"/>
      <c r="X59" s="51"/>
      <c r="Y59" s="51"/>
      <c r="Z59" s="41"/>
      <c r="AA59" s="45"/>
      <c r="AB59" s="41"/>
      <c r="AC59" s="41"/>
      <c r="AD59" s="41"/>
      <c r="AE59" s="45"/>
      <c r="AH59">
        <v>30</v>
      </c>
      <c r="AJ59">
        <v>47.728999999999999</v>
      </c>
      <c r="AK59">
        <v>47.81</v>
      </c>
      <c r="AL59" s="3">
        <f t="shared" ref="AL59:AL60" si="10">(AK59-AJ59)/AH59*1000</f>
        <v>2.7000000000001023</v>
      </c>
      <c r="AM59" t="s">
        <v>48</v>
      </c>
    </row>
    <row r="60" spans="1:39" ht="17.399999999999999" x14ac:dyDescent="0.35">
      <c r="A60" s="7">
        <v>44694</v>
      </c>
      <c r="B60" s="7"/>
      <c r="C60" s="12"/>
      <c r="D60" s="12"/>
      <c r="E60" s="12"/>
      <c r="F60" s="12"/>
      <c r="G60" s="12"/>
      <c r="H60" s="18">
        <v>0.998</v>
      </c>
      <c r="I60" s="18">
        <v>1.0109999999999999</v>
      </c>
      <c r="J60" s="12">
        <v>25</v>
      </c>
      <c r="K60" s="19">
        <f t="shared" si="8"/>
        <v>0.51999999999999602</v>
      </c>
      <c r="L60" s="18">
        <v>47.73</v>
      </c>
      <c r="M60" s="18">
        <v>47.738</v>
      </c>
      <c r="N60" s="19">
        <f t="shared" si="7"/>
        <v>0.32000000000010687</v>
      </c>
      <c r="O60" s="19">
        <f t="shared" si="9"/>
        <v>1.6249999999994449</v>
      </c>
      <c r="P60" s="12"/>
      <c r="Q60" s="12"/>
      <c r="R60" s="12"/>
      <c r="S60" s="12"/>
      <c r="T60" s="12"/>
      <c r="U60" s="12"/>
      <c r="V60" s="21"/>
      <c r="W60" s="12"/>
      <c r="X60" s="51"/>
      <c r="Y60" s="51"/>
      <c r="Z60" s="41"/>
      <c r="AA60" s="45"/>
      <c r="AB60" s="41"/>
      <c r="AC60" s="41"/>
      <c r="AD60" s="41"/>
      <c r="AE60" s="45"/>
      <c r="AH60">
        <v>30</v>
      </c>
      <c r="AJ60">
        <v>41.168999999999997</v>
      </c>
      <c r="AK60">
        <v>41.246000000000002</v>
      </c>
      <c r="AL60" s="3">
        <f t="shared" si="10"/>
        <v>2.5666666666668427</v>
      </c>
      <c r="AM60" t="s">
        <v>49</v>
      </c>
    </row>
    <row r="61" spans="1:39" ht="17.399999999999999" x14ac:dyDescent="0.35">
      <c r="A61" s="7">
        <v>44698</v>
      </c>
      <c r="B61" s="7"/>
      <c r="C61" s="12"/>
      <c r="D61" s="12"/>
      <c r="E61" s="12"/>
      <c r="F61" s="12"/>
      <c r="G61" s="12"/>
      <c r="H61" s="18">
        <f>(0.986+0.987+0.99)/3</f>
        <v>0.98766666666666669</v>
      </c>
      <c r="I61" s="18">
        <v>1.0129999999999999</v>
      </c>
      <c r="J61" s="12">
        <v>25</v>
      </c>
      <c r="K61" s="19">
        <f t="shared" si="8"/>
        <v>1.0133333333333283</v>
      </c>
      <c r="L61" s="18">
        <v>47.771000000000001</v>
      </c>
      <c r="M61" s="18">
        <v>47.786000000000001</v>
      </c>
      <c r="N61" s="19">
        <f t="shared" si="7"/>
        <v>0.60000000000002274</v>
      </c>
      <c r="O61" s="19">
        <f t="shared" si="9"/>
        <v>1.6888888888888165</v>
      </c>
      <c r="P61" s="12"/>
      <c r="Q61" s="12"/>
      <c r="R61" s="12"/>
      <c r="S61" s="12"/>
      <c r="T61" s="12"/>
      <c r="U61" s="12"/>
      <c r="V61" s="12"/>
      <c r="W61" s="12"/>
      <c r="X61" s="51"/>
      <c r="Y61" s="51"/>
      <c r="Z61" s="41"/>
      <c r="AA61" s="45"/>
      <c r="AB61" s="41"/>
      <c r="AC61" s="41"/>
      <c r="AD61" s="41"/>
      <c r="AE61" s="45"/>
    </row>
    <row r="62" spans="1:39" ht="17.399999999999999" x14ac:dyDescent="0.35">
      <c r="A62" s="7">
        <v>44699</v>
      </c>
      <c r="B62" s="35">
        <v>0</v>
      </c>
      <c r="C62" s="12"/>
      <c r="D62" s="12"/>
      <c r="E62" s="12"/>
      <c r="F62" s="12"/>
      <c r="G62" s="12"/>
      <c r="H62" s="36">
        <v>1.0009999999999999</v>
      </c>
      <c r="I62" s="36">
        <v>1.022</v>
      </c>
      <c r="J62" s="12">
        <v>25</v>
      </c>
      <c r="K62" s="37">
        <f t="shared" si="8"/>
        <v>0.84000000000000519</v>
      </c>
      <c r="L62" s="36">
        <v>41.131999999999998</v>
      </c>
      <c r="M62" s="36">
        <v>41.140999999999998</v>
      </c>
      <c r="N62" s="37">
        <f t="shared" si="7"/>
        <v>0.36000000000001364</v>
      </c>
      <c r="O62" s="37">
        <f t="shared" si="9"/>
        <v>2.3333333333332593</v>
      </c>
      <c r="P62" s="12"/>
      <c r="Q62" s="12"/>
      <c r="R62" s="12"/>
      <c r="S62" s="12"/>
      <c r="T62" s="12"/>
      <c r="U62" s="12"/>
      <c r="V62" s="12"/>
      <c r="W62" s="12"/>
      <c r="X62" s="51"/>
      <c r="Y62" s="51"/>
      <c r="Z62" s="41"/>
      <c r="AA62" s="45"/>
      <c r="AB62" s="41"/>
      <c r="AC62" s="41"/>
      <c r="AD62" s="41"/>
      <c r="AE62" s="45"/>
    </row>
    <row r="63" spans="1:39" s="11" customFormat="1" ht="17.399999999999999" x14ac:dyDescent="0.35">
      <c r="A63" s="9">
        <v>44700</v>
      </c>
      <c r="B63" s="10">
        <f>A63-A62+B62</f>
        <v>1</v>
      </c>
      <c r="C63" s="38"/>
      <c r="D63" s="38"/>
      <c r="E63" s="38"/>
      <c r="F63" s="38"/>
      <c r="G63" s="38"/>
      <c r="H63" s="39">
        <v>0.98399999999999999</v>
      </c>
      <c r="I63" s="39">
        <f>(1.001+1.004+1.005)/3</f>
        <v>1.0033333333333332</v>
      </c>
      <c r="J63" s="38">
        <v>25</v>
      </c>
      <c r="K63" s="40">
        <f t="shared" si="8"/>
        <v>0.7733333333333281</v>
      </c>
      <c r="L63" s="39">
        <v>50.829000000000001</v>
      </c>
      <c r="M63" s="39">
        <v>50.84</v>
      </c>
      <c r="N63" s="40">
        <f t="shared" si="7"/>
        <v>0.44000000000011141</v>
      </c>
      <c r="O63" s="40">
        <f t="shared" si="9"/>
        <v>1.7575757575753006</v>
      </c>
      <c r="P63" s="38"/>
      <c r="Q63" s="38"/>
      <c r="R63" s="38"/>
      <c r="S63" s="38"/>
      <c r="T63" s="38"/>
      <c r="U63" s="38"/>
      <c r="V63" s="38"/>
      <c r="W63" s="38"/>
      <c r="X63" s="51"/>
      <c r="Y63" s="51"/>
      <c r="Z63" s="41"/>
      <c r="AA63" s="45"/>
      <c r="AB63" s="41"/>
      <c r="AC63" s="41"/>
      <c r="AD63" s="41"/>
      <c r="AE63" s="45"/>
    </row>
    <row r="64" spans="1:39" ht="17.399999999999999" x14ac:dyDescent="0.35">
      <c r="A64" s="7">
        <v>44701</v>
      </c>
      <c r="B64" s="10">
        <f t="shared" ref="B64:B127" si="11">A64-A63+B63</f>
        <v>2</v>
      </c>
      <c r="C64" s="12"/>
      <c r="D64" s="12"/>
      <c r="E64" s="12"/>
      <c r="F64" s="12"/>
      <c r="G64" s="12"/>
      <c r="H64" s="18">
        <v>0.998</v>
      </c>
      <c r="I64" s="18">
        <v>1.0149999999999999</v>
      </c>
      <c r="J64" s="12">
        <v>25</v>
      </c>
      <c r="K64" s="19">
        <f t="shared" si="8"/>
        <v>0.67999999999999616</v>
      </c>
      <c r="L64" s="18">
        <v>47.728000000000002</v>
      </c>
      <c r="M64" s="18">
        <v>47.741999999999997</v>
      </c>
      <c r="N64" s="19">
        <f t="shared" si="7"/>
        <v>0.55999999999983174</v>
      </c>
      <c r="O64" s="19">
        <f t="shared" si="9"/>
        <v>1.2142857142860723</v>
      </c>
      <c r="P64" s="12"/>
      <c r="Q64" s="12"/>
      <c r="R64" s="12"/>
      <c r="S64" s="12"/>
      <c r="T64" s="12"/>
      <c r="U64" s="12"/>
      <c r="V64" s="12"/>
      <c r="W64" s="12"/>
      <c r="X64" s="51"/>
      <c r="Y64" s="51"/>
      <c r="Z64" s="41"/>
      <c r="AA64" s="45"/>
      <c r="AB64" s="41"/>
      <c r="AC64" s="41"/>
      <c r="AD64" s="41"/>
      <c r="AE64" s="45"/>
    </row>
    <row r="65" spans="1:32" ht="17.399999999999999" x14ac:dyDescent="0.35">
      <c r="A65" s="7">
        <v>44704</v>
      </c>
      <c r="B65" s="10">
        <f t="shared" si="11"/>
        <v>5</v>
      </c>
      <c r="C65" s="12"/>
      <c r="D65" s="12"/>
      <c r="E65" s="12"/>
      <c r="F65" s="12"/>
      <c r="G65" s="12"/>
      <c r="H65" s="18">
        <v>0.995</v>
      </c>
      <c r="I65" s="18">
        <v>1.0069999999999999</v>
      </c>
      <c r="J65" s="12">
        <v>25</v>
      </c>
      <c r="K65" s="19">
        <f t="shared" si="8"/>
        <v>0.47999999999999599</v>
      </c>
      <c r="L65" s="18">
        <v>49.652000000000001</v>
      </c>
      <c r="M65" s="18">
        <v>49.661000000000001</v>
      </c>
      <c r="N65" s="19">
        <f t="shared" si="7"/>
        <v>0.36000000000001364</v>
      </c>
      <c r="O65" s="19">
        <f t="shared" si="9"/>
        <v>1.3333333333332718</v>
      </c>
      <c r="P65" s="12"/>
      <c r="Q65" s="12"/>
      <c r="R65" s="12"/>
      <c r="S65" s="12"/>
      <c r="T65" s="12"/>
      <c r="U65" s="12"/>
      <c r="V65" s="12"/>
      <c r="W65" s="12"/>
      <c r="X65" s="51"/>
      <c r="Y65" s="51"/>
      <c r="Z65" s="41"/>
      <c r="AA65" s="45"/>
      <c r="AB65" s="41"/>
      <c r="AC65" s="41"/>
      <c r="AD65" s="41"/>
      <c r="AE65" s="45"/>
    </row>
    <row r="66" spans="1:32" ht="17.399999999999999" x14ac:dyDescent="0.35">
      <c r="A66" s="7">
        <v>44705</v>
      </c>
      <c r="B66" s="10">
        <f t="shared" si="11"/>
        <v>6</v>
      </c>
      <c r="C66" s="12"/>
      <c r="D66" s="12"/>
      <c r="E66" s="12"/>
      <c r="F66" s="12"/>
      <c r="G66" s="12"/>
      <c r="H66" s="18">
        <v>1.0009999999999999</v>
      </c>
      <c r="I66" s="18">
        <v>1.1910000000000001</v>
      </c>
      <c r="J66" s="12">
        <v>20</v>
      </c>
      <c r="K66" s="34">
        <f t="shared" si="8"/>
        <v>9.5000000000000089</v>
      </c>
      <c r="L66" s="18">
        <v>154.77000000000001</v>
      </c>
      <c r="M66" s="18">
        <v>154.881</v>
      </c>
      <c r="N66" s="19">
        <f>(M66-L66)/J66*1000</f>
        <v>5.5499999999994998</v>
      </c>
      <c r="O66" s="19">
        <f t="shared" si="9"/>
        <v>1.7117117117118676</v>
      </c>
      <c r="P66" s="12"/>
      <c r="Q66" s="12"/>
      <c r="R66" s="12"/>
      <c r="S66" s="12"/>
      <c r="T66" s="12"/>
      <c r="U66" s="12"/>
      <c r="V66" s="12"/>
      <c r="W66" s="12"/>
      <c r="X66" s="51"/>
      <c r="Y66" s="51"/>
      <c r="Z66" s="41"/>
      <c r="AA66" s="45"/>
      <c r="AB66" s="41"/>
      <c r="AC66" s="41"/>
      <c r="AD66" s="41"/>
      <c r="AE66" s="45"/>
    </row>
    <row r="67" spans="1:32" ht="17.399999999999999" x14ac:dyDescent="0.35">
      <c r="A67" s="7">
        <v>44706</v>
      </c>
      <c r="B67" s="10">
        <f t="shared" si="11"/>
        <v>7</v>
      </c>
      <c r="C67" s="12"/>
      <c r="D67" s="12"/>
      <c r="E67" s="12"/>
      <c r="F67" s="12"/>
      <c r="G67" s="12"/>
      <c r="H67" s="18">
        <v>0.97199999999999998</v>
      </c>
      <c r="I67" s="18">
        <v>1.2190000000000001</v>
      </c>
      <c r="J67" s="12">
        <v>20</v>
      </c>
      <c r="K67" s="19">
        <f t="shared" si="8"/>
        <v>12.350000000000005</v>
      </c>
      <c r="L67" s="18">
        <v>41.131</v>
      </c>
      <c r="M67" s="18">
        <v>41.290999999999997</v>
      </c>
      <c r="N67" s="19">
        <f t="shared" ref="N67:N69" si="12">(M67-L67)/J67*1000</f>
        <v>7.9999999999998304</v>
      </c>
      <c r="O67" s="19">
        <f t="shared" si="9"/>
        <v>1.5437500000000333</v>
      </c>
      <c r="P67" s="12"/>
      <c r="Q67" s="12"/>
      <c r="R67" s="12"/>
      <c r="S67" s="12"/>
      <c r="T67" s="12"/>
      <c r="U67" s="12"/>
      <c r="V67" s="12"/>
      <c r="W67" s="12"/>
      <c r="X67" s="51"/>
      <c r="Y67" s="51"/>
      <c r="Z67" s="41"/>
      <c r="AA67" s="45"/>
      <c r="AB67" s="41"/>
      <c r="AC67" s="41"/>
      <c r="AD67" s="41"/>
      <c r="AE67" s="45"/>
    </row>
    <row r="68" spans="1:32" ht="17.399999999999999" x14ac:dyDescent="0.35">
      <c r="A68" s="7">
        <v>44708</v>
      </c>
      <c r="B68" s="10">
        <f t="shared" si="11"/>
        <v>9</v>
      </c>
      <c r="C68" s="12"/>
      <c r="D68" s="12"/>
      <c r="E68" s="12"/>
      <c r="F68" s="12"/>
      <c r="G68" s="12"/>
      <c r="H68" s="18">
        <v>0.97799999999999998</v>
      </c>
      <c r="I68" s="18">
        <f>(1.295+1.298+1.299)/3</f>
        <v>1.2973333333333332</v>
      </c>
      <c r="J68" s="12">
        <v>20</v>
      </c>
      <c r="K68" s="34">
        <f t="shared" si="8"/>
        <v>15.966666666666663</v>
      </c>
      <c r="L68" s="18">
        <v>47.771999999999998</v>
      </c>
      <c r="M68" s="18">
        <v>47.98</v>
      </c>
      <c r="N68" s="19">
        <f t="shared" si="12"/>
        <v>10.39999999999992</v>
      </c>
      <c r="O68" s="19">
        <f t="shared" si="9"/>
        <v>1.5352564102564217</v>
      </c>
      <c r="P68" s="12"/>
      <c r="Q68" s="12"/>
      <c r="R68" s="12"/>
      <c r="S68" s="12"/>
      <c r="T68" s="12"/>
      <c r="U68" s="12"/>
      <c r="V68" s="12"/>
      <c r="W68" s="12"/>
      <c r="X68" s="51"/>
      <c r="Y68" s="51"/>
      <c r="Z68" s="41"/>
      <c r="AA68" s="45"/>
      <c r="AB68" s="41"/>
      <c r="AC68" s="41"/>
      <c r="AD68" s="41"/>
      <c r="AE68" s="45"/>
    </row>
    <row r="69" spans="1:32" ht="17.399999999999999" x14ac:dyDescent="0.35">
      <c r="A69" s="7">
        <v>44711</v>
      </c>
      <c r="B69" s="10">
        <f t="shared" si="11"/>
        <v>12</v>
      </c>
      <c r="C69" s="12"/>
      <c r="D69" s="12"/>
      <c r="E69" s="12"/>
      <c r="F69" s="12"/>
      <c r="G69" s="12"/>
      <c r="H69" s="18">
        <v>0.995</v>
      </c>
      <c r="I69" s="18">
        <v>1.204</v>
      </c>
      <c r="J69" s="12">
        <v>20</v>
      </c>
      <c r="K69" s="19">
        <f t="shared" si="8"/>
        <v>10.449999999999998</v>
      </c>
      <c r="L69" s="18">
        <v>50.83</v>
      </c>
      <c r="M69" s="18">
        <v>50.97</v>
      </c>
      <c r="N69" s="19">
        <f t="shared" si="12"/>
        <v>7.0000000000000284</v>
      </c>
      <c r="O69" s="19">
        <f t="shared" si="9"/>
        <v>1.4928571428571364</v>
      </c>
      <c r="P69" s="12"/>
      <c r="Q69" s="12"/>
      <c r="R69" s="12"/>
      <c r="S69" s="12"/>
      <c r="T69" s="12"/>
      <c r="U69" s="12"/>
      <c r="V69" s="12"/>
      <c r="W69" s="12"/>
      <c r="X69" s="51"/>
      <c r="Y69" s="51"/>
      <c r="Z69" s="41"/>
      <c r="AA69" s="45"/>
      <c r="AB69" s="41"/>
      <c r="AC69" s="41"/>
      <c r="AD69" s="41"/>
      <c r="AE69" s="45"/>
    </row>
    <row r="70" spans="1:32" ht="17.399999999999999" x14ac:dyDescent="0.35">
      <c r="A70" s="7">
        <v>44713</v>
      </c>
      <c r="B70" s="10">
        <f t="shared" si="11"/>
        <v>14</v>
      </c>
      <c r="C70" s="12"/>
      <c r="D70" s="12"/>
      <c r="E70" s="12"/>
      <c r="F70" s="12"/>
      <c r="G70" s="12"/>
      <c r="H70" s="18">
        <v>0.98799999999999999</v>
      </c>
      <c r="I70" s="18">
        <f>(1.073+1.077+1.08)/3</f>
        <v>1.0766666666666667</v>
      </c>
      <c r="J70" s="12">
        <v>20</v>
      </c>
      <c r="K70" s="34">
        <f t="shared" si="8"/>
        <v>4.4333333333333336</v>
      </c>
      <c r="L70" s="18">
        <v>47.728000000000002</v>
      </c>
      <c r="M70" s="18">
        <v>47.790999999999997</v>
      </c>
      <c r="N70" s="19">
        <f t="shared" ref="N70" si="13">(M70-L70)/J70*1000</f>
        <v>3.1499999999997641</v>
      </c>
      <c r="O70" s="19">
        <f t="shared" ref="O70" si="14">K70/N70</f>
        <v>1.4074074074075129</v>
      </c>
      <c r="P70" s="12"/>
      <c r="Q70" s="12"/>
      <c r="R70" s="12"/>
      <c r="S70" s="12"/>
      <c r="T70" s="12"/>
      <c r="U70" s="12"/>
      <c r="V70" s="12"/>
      <c r="W70" s="12"/>
      <c r="X70" s="51"/>
      <c r="Y70" s="51"/>
      <c r="Z70" s="41"/>
      <c r="AA70" s="45"/>
      <c r="AB70" s="41"/>
      <c r="AC70" s="41"/>
      <c r="AD70" s="41"/>
      <c r="AE70" s="45"/>
    </row>
    <row r="71" spans="1:32" ht="16.2" customHeight="1" x14ac:dyDescent="0.35">
      <c r="A71" s="7">
        <v>44715</v>
      </c>
      <c r="B71" s="10">
        <f t="shared" si="11"/>
        <v>16</v>
      </c>
      <c r="C71" s="12"/>
      <c r="D71" s="12"/>
      <c r="E71" s="12"/>
      <c r="F71" s="12"/>
      <c r="G71" s="12"/>
      <c r="H71" s="18">
        <f>(0.989+0.99+0.992)/3</f>
        <v>0.9903333333333334</v>
      </c>
      <c r="I71" s="18">
        <v>1.22</v>
      </c>
      <c r="J71" s="12">
        <v>20</v>
      </c>
      <c r="K71" s="37">
        <f t="shared" si="8"/>
        <v>11.483333333333327</v>
      </c>
      <c r="L71" s="18">
        <f>(49.655+49.652+49.651)/3</f>
        <v>49.652666666666669</v>
      </c>
      <c r="M71" s="18">
        <v>49.811999999999998</v>
      </c>
      <c r="N71" s="19">
        <f t="shared" ref="N71:N75" si="15">(M71-L71)/J71*1000</f>
        <v>7.9666666666664554</v>
      </c>
      <c r="O71" s="19">
        <f t="shared" ref="O71:O75" si="16">K71/N71</f>
        <v>1.4414225941422969</v>
      </c>
      <c r="P71" s="12"/>
      <c r="Q71" s="12"/>
      <c r="R71" s="12"/>
      <c r="S71" s="12"/>
      <c r="T71" s="12"/>
      <c r="U71" s="12"/>
      <c r="V71" s="12"/>
      <c r="W71" s="12"/>
      <c r="X71" s="51"/>
      <c r="Y71" s="51"/>
      <c r="Z71" s="41"/>
      <c r="AA71" s="45"/>
      <c r="AB71" s="41"/>
      <c r="AC71" s="41"/>
      <c r="AD71" s="41"/>
      <c r="AE71" s="45"/>
      <c r="AF71">
        <v>20</v>
      </c>
    </row>
    <row r="72" spans="1:32" ht="16.2" customHeight="1" x14ac:dyDescent="0.35">
      <c r="A72" s="7">
        <v>44718</v>
      </c>
      <c r="B72" s="10">
        <f t="shared" si="11"/>
        <v>19</v>
      </c>
      <c r="C72" s="12"/>
      <c r="D72" s="12"/>
      <c r="E72" s="12"/>
      <c r="F72" s="12"/>
      <c r="G72" s="12"/>
      <c r="H72" s="18">
        <v>0.9657</v>
      </c>
      <c r="I72" s="18">
        <v>1.22265</v>
      </c>
      <c r="J72" s="12">
        <v>25</v>
      </c>
      <c r="K72" s="37">
        <f t="shared" si="8"/>
        <v>10.278</v>
      </c>
      <c r="L72" s="18">
        <v>51.321869999999997</v>
      </c>
      <c r="M72" s="18">
        <v>51.513910000000003</v>
      </c>
      <c r="N72" s="19">
        <f t="shared" ref="N72" si="17">(M72-L72)/J72*1000</f>
        <v>7.6816000000002305</v>
      </c>
      <c r="O72" s="19">
        <f t="shared" ref="O72" si="18">K72/N72</f>
        <v>1.338002499479235</v>
      </c>
      <c r="P72" s="12"/>
      <c r="Q72" s="12"/>
      <c r="R72" s="12"/>
      <c r="S72" s="12"/>
      <c r="T72" s="12"/>
      <c r="U72" s="12"/>
      <c r="V72" s="12"/>
      <c r="W72" s="12"/>
      <c r="X72" s="51"/>
      <c r="Y72" s="51"/>
      <c r="Z72" s="41"/>
      <c r="AA72" s="45"/>
      <c r="AB72" s="41"/>
      <c r="AC72" s="41"/>
      <c r="AD72" s="41"/>
      <c r="AE72" s="45"/>
    </row>
    <row r="73" spans="1:32" ht="17.399999999999999" x14ac:dyDescent="0.35">
      <c r="A73" s="7">
        <v>44720</v>
      </c>
      <c r="B73" s="10">
        <f t="shared" si="11"/>
        <v>21</v>
      </c>
      <c r="C73" s="12"/>
      <c r="D73" s="12"/>
      <c r="E73" s="12"/>
      <c r="F73" s="12"/>
      <c r="G73" s="12"/>
      <c r="H73" s="18">
        <v>0.97</v>
      </c>
      <c r="I73" s="18">
        <v>1.212</v>
      </c>
      <c r="J73" s="12">
        <v>20</v>
      </c>
      <c r="K73" s="19">
        <f t="shared" si="8"/>
        <v>12.1</v>
      </c>
      <c r="L73" s="18">
        <v>50.83</v>
      </c>
      <c r="M73" s="18">
        <v>50.99</v>
      </c>
      <c r="N73" s="19">
        <f t="shared" si="15"/>
        <v>8.0000000000001847</v>
      </c>
      <c r="O73" s="19">
        <f t="shared" si="16"/>
        <v>1.5124999999999651</v>
      </c>
      <c r="P73" s="12"/>
      <c r="Q73" s="12"/>
      <c r="R73" s="12"/>
      <c r="S73" s="12"/>
      <c r="T73" s="12"/>
      <c r="U73" s="12"/>
      <c r="V73" s="12"/>
      <c r="W73" s="12"/>
      <c r="X73" s="51"/>
      <c r="Y73" s="51"/>
      <c r="Z73" s="41"/>
      <c r="AA73" s="45"/>
      <c r="AB73" s="41"/>
      <c r="AC73" s="41"/>
      <c r="AD73" s="41"/>
      <c r="AE73" s="45"/>
    </row>
    <row r="74" spans="1:32" ht="17.399999999999999" x14ac:dyDescent="0.35">
      <c r="A74" s="7">
        <v>44722</v>
      </c>
      <c r="B74" s="10">
        <f t="shared" si="11"/>
        <v>23</v>
      </c>
      <c r="C74" s="12"/>
      <c r="D74" s="12"/>
      <c r="E74" s="12"/>
      <c r="F74" s="12"/>
      <c r="G74" s="12"/>
      <c r="H74" s="18">
        <f>(0.965+0.968+0.97)/3</f>
        <v>0.96766666666666656</v>
      </c>
      <c r="I74" s="18">
        <f>(1.187+1.191+1.193)/3</f>
        <v>1.1903333333333335</v>
      </c>
      <c r="J74" s="12">
        <v>20</v>
      </c>
      <c r="K74" s="19">
        <f t="shared" si="8"/>
        <v>11.133333333333345</v>
      </c>
      <c r="L74" s="18">
        <v>47.771999999999998</v>
      </c>
      <c r="M74" s="18">
        <v>47.914000000000001</v>
      </c>
      <c r="N74" s="19">
        <f t="shared" si="15"/>
        <v>7.1000000000001506</v>
      </c>
      <c r="O74" s="19">
        <f t="shared" si="16"/>
        <v>1.5680751173708605</v>
      </c>
      <c r="P74" s="12"/>
      <c r="Q74" s="12"/>
      <c r="R74" s="12"/>
      <c r="S74" s="12"/>
      <c r="T74" s="12"/>
      <c r="U74" s="12"/>
      <c r="V74" s="12"/>
      <c r="W74" s="12"/>
      <c r="X74" s="51"/>
      <c r="Y74" s="51"/>
      <c r="Z74" s="41"/>
      <c r="AA74" s="45"/>
      <c r="AB74" s="41"/>
      <c r="AC74" s="41"/>
      <c r="AD74" s="41"/>
      <c r="AE74" s="45"/>
    </row>
    <row r="75" spans="1:32" ht="17.399999999999999" x14ac:dyDescent="0.35">
      <c r="A75" s="7">
        <v>44725</v>
      </c>
      <c r="B75" s="10">
        <f t="shared" si="11"/>
        <v>26</v>
      </c>
      <c r="C75" s="12"/>
      <c r="D75" s="12"/>
      <c r="E75" s="12"/>
      <c r="F75" s="12"/>
      <c r="G75" s="12"/>
      <c r="H75" s="18">
        <v>0.97</v>
      </c>
      <c r="I75" s="18">
        <f>(1.472+1.474+1.475)/3</f>
        <v>1.4736666666666665</v>
      </c>
      <c r="J75" s="12">
        <v>20</v>
      </c>
      <c r="K75" s="19">
        <f t="shared" si="8"/>
        <v>25.183333333333326</v>
      </c>
      <c r="L75" s="18">
        <v>47.726999999999997</v>
      </c>
      <c r="M75" s="18">
        <v>48.131</v>
      </c>
      <c r="N75" s="19">
        <f t="shared" si="15"/>
        <v>20.200000000000173</v>
      </c>
      <c r="O75" s="19">
        <f t="shared" si="16"/>
        <v>1.2466996699669857</v>
      </c>
      <c r="P75" s="12"/>
      <c r="Q75" s="12"/>
      <c r="R75" s="12"/>
      <c r="S75" s="12"/>
      <c r="T75" s="12"/>
      <c r="U75" s="12"/>
      <c r="V75" s="12"/>
      <c r="W75" s="12"/>
      <c r="X75" s="51"/>
      <c r="Y75" s="51"/>
      <c r="Z75" s="41"/>
      <c r="AA75" s="45"/>
      <c r="AB75" s="41"/>
      <c r="AC75" s="41"/>
      <c r="AD75" s="41"/>
      <c r="AE75" s="45"/>
    </row>
    <row r="76" spans="1:32" ht="16.5" customHeight="1" x14ac:dyDescent="0.35">
      <c r="A76" s="7">
        <v>44727</v>
      </c>
      <c r="B76" s="10">
        <f t="shared" si="11"/>
        <v>28</v>
      </c>
      <c r="C76" s="12"/>
      <c r="D76" s="12"/>
      <c r="E76" s="12"/>
      <c r="F76" s="12"/>
      <c r="G76" s="12"/>
      <c r="H76" s="18">
        <f>(0.99+0.993+0.996)/3</f>
        <v>0.99299999999999999</v>
      </c>
      <c r="I76" s="18">
        <v>1.3</v>
      </c>
      <c r="J76" s="12">
        <v>20</v>
      </c>
      <c r="K76" s="19">
        <f t="shared" si="8"/>
        <v>15.350000000000003</v>
      </c>
      <c r="L76" s="18">
        <f>(49.65+49.651+49.653)/3</f>
        <v>49.651333333333334</v>
      </c>
      <c r="M76" s="18">
        <v>49.883000000000003</v>
      </c>
      <c r="N76" s="19">
        <f t="shared" ref="N76:N77" si="19">(M76-L76)/J76*1000</f>
        <v>11.583333333333456</v>
      </c>
      <c r="O76" s="19">
        <f t="shared" ref="O76:O77" si="20">K76/N76</f>
        <v>1.325179856115094</v>
      </c>
      <c r="P76" s="12"/>
      <c r="Q76" s="12"/>
      <c r="R76" s="12"/>
      <c r="S76" s="12"/>
      <c r="T76" s="12"/>
      <c r="U76" s="12"/>
      <c r="V76" s="12"/>
      <c r="W76" s="12"/>
      <c r="X76" s="51"/>
      <c r="Y76" s="51"/>
      <c r="Z76" s="41"/>
      <c r="AA76" s="45"/>
      <c r="AB76" s="41"/>
      <c r="AC76" s="41"/>
      <c r="AD76" s="41"/>
      <c r="AE76" s="45"/>
    </row>
    <row r="77" spans="1:32" ht="16.5" customHeight="1" x14ac:dyDescent="0.35">
      <c r="A77" s="7">
        <v>44729</v>
      </c>
      <c r="B77" s="10">
        <f t="shared" si="11"/>
        <v>30</v>
      </c>
      <c r="C77" s="12"/>
      <c r="D77" s="12"/>
      <c r="E77" s="12"/>
      <c r="F77" s="12"/>
      <c r="G77" s="12"/>
      <c r="H77" s="18">
        <v>0.96399999999999997</v>
      </c>
      <c r="I77" s="18">
        <v>1.252</v>
      </c>
      <c r="J77" s="12">
        <v>20</v>
      </c>
      <c r="K77" s="19">
        <f t="shared" si="8"/>
        <v>14.400000000000002</v>
      </c>
      <c r="L77" s="18">
        <v>154.77099999999999</v>
      </c>
      <c r="M77" s="18">
        <v>154.97300000000001</v>
      </c>
      <c r="N77" s="19">
        <f t="shared" si="19"/>
        <v>10.10000000000133</v>
      </c>
      <c r="O77" s="19">
        <f t="shared" si="20"/>
        <v>1.4257425742572383</v>
      </c>
      <c r="P77" s="12"/>
      <c r="Q77" s="12"/>
      <c r="R77" s="12"/>
      <c r="S77" s="12"/>
      <c r="T77" s="12"/>
      <c r="U77" s="12"/>
      <c r="V77" s="12"/>
      <c r="W77" s="12"/>
      <c r="X77" s="51"/>
      <c r="Y77" s="51"/>
      <c r="Z77" s="41"/>
      <c r="AA77" s="45"/>
      <c r="AB77" s="41"/>
      <c r="AC77" s="41"/>
      <c r="AD77" s="41"/>
      <c r="AE77" s="45"/>
    </row>
    <row r="78" spans="1:32" ht="17.399999999999999" x14ac:dyDescent="0.35">
      <c r="A78" s="7">
        <v>44732</v>
      </c>
      <c r="B78" s="10">
        <f t="shared" si="11"/>
        <v>33</v>
      </c>
      <c r="C78" s="12"/>
      <c r="D78" s="12"/>
      <c r="E78" s="12"/>
      <c r="F78" s="12"/>
      <c r="G78" s="12"/>
      <c r="H78" s="18">
        <f>(0.965+0.968+0.969)/3</f>
        <v>0.96733333333333327</v>
      </c>
      <c r="I78" s="18">
        <f>(1.278+1.282+1.281)/3</f>
        <v>1.2803333333333333</v>
      </c>
      <c r="J78" s="12">
        <v>20</v>
      </c>
      <c r="K78" s="19">
        <f t="shared" si="8"/>
        <v>15.650000000000004</v>
      </c>
      <c r="L78" s="18">
        <f>(50.828+50.829+50.831)/3</f>
        <v>50.829333333333331</v>
      </c>
      <c r="M78" s="18">
        <v>51.067999999999998</v>
      </c>
      <c r="N78" s="19">
        <f t="shared" ref="N78:N82" si="21">(M78-L78)/J78*1000</f>
        <v>11.933333333333351</v>
      </c>
      <c r="O78" s="19">
        <f t="shared" ref="O78:O82" si="22">K78/N78</f>
        <v>1.3114525139664788</v>
      </c>
      <c r="P78" s="12"/>
      <c r="Q78" s="12"/>
      <c r="R78" s="12"/>
      <c r="S78" s="12"/>
      <c r="T78" s="12"/>
      <c r="U78" s="12"/>
      <c r="V78" s="12"/>
      <c r="W78" s="12"/>
      <c r="X78" s="51"/>
      <c r="Y78" s="51"/>
      <c r="Z78" s="41"/>
      <c r="AA78" s="45"/>
      <c r="AB78" s="41"/>
      <c r="AC78" s="41"/>
      <c r="AD78" s="41"/>
      <c r="AE78" s="45"/>
    </row>
    <row r="79" spans="1:32" ht="17.399999999999999" x14ac:dyDescent="0.35">
      <c r="A79" s="7">
        <v>44732</v>
      </c>
      <c r="B79" s="10">
        <f t="shared" si="11"/>
        <v>33</v>
      </c>
      <c r="C79" s="12"/>
      <c r="D79" s="12"/>
      <c r="E79" s="12"/>
      <c r="F79" s="12"/>
      <c r="G79" s="12"/>
      <c r="H79" s="18">
        <v>0.99399999999999999</v>
      </c>
      <c r="I79" s="18">
        <v>1.4239999999999999</v>
      </c>
      <c r="J79" s="12">
        <v>20</v>
      </c>
      <c r="K79" s="19">
        <f t="shared" si="8"/>
        <v>21.5</v>
      </c>
      <c r="L79" s="18">
        <v>47.728000000000002</v>
      </c>
      <c r="M79" s="18">
        <v>48.07</v>
      </c>
      <c r="N79" s="19">
        <f t="shared" ref="N79" si="23">(M79-L79)/J79*1000</f>
        <v>17.099999999999937</v>
      </c>
      <c r="O79" s="19">
        <f t="shared" ref="O79" si="24">K79/N79</f>
        <v>1.2573099415204725</v>
      </c>
      <c r="P79" s="12"/>
      <c r="Q79" s="12"/>
      <c r="R79" s="12"/>
      <c r="S79" s="12"/>
      <c r="T79" s="12"/>
      <c r="U79" s="12"/>
      <c r="V79" s="12"/>
      <c r="W79" s="12"/>
      <c r="X79" s="51"/>
      <c r="Y79" s="51"/>
      <c r="Z79" s="41"/>
      <c r="AA79" s="45"/>
      <c r="AB79" s="41"/>
      <c r="AC79" s="41"/>
      <c r="AD79" s="41"/>
      <c r="AE79" s="45"/>
    </row>
    <row r="80" spans="1:32" ht="17.399999999999999" x14ac:dyDescent="0.35">
      <c r="A80" s="7">
        <v>44735</v>
      </c>
      <c r="B80" s="10">
        <f t="shared" si="11"/>
        <v>36</v>
      </c>
      <c r="C80" s="12"/>
      <c r="D80" s="12"/>
      <c r="E80" s="12"/>
      <c r="F80" s="12"/>
      <c r="G80" s="12"/>
      <c r="H80" s="18">
        <v>0.97699999999999998</v>
      </c>
      <c r="I80" s="18">
        <f>(1.253+1.259+1.261)/3</f>
        <v>1.2576666666666665</v>
      </c>
      <c r="J80" s="12">
        <v>20</v>
      </c>
      <c r="K80" s="19">
        <f t="shared" si="8"/>
        <v>14.033333333333324</v>
      </c>
      <c r="L80" s="18">
        <v>77.959999999999994</v>
      </c>
      <c r="M80" s="18">
        <f>(78.176+78.174+78.18)/3</f>
        <v>78.176666666666677</v>
      </c>
      <c r="N80" s="19">
        <f t="shared" si="21"/>
        <v>10.833333333334139</v>
      </c>
      <c r="O80" s="19">
        <f t="shared" si="22"/>
        <v>1.2953846153845183</v>
      </c>
      <c r="P80" s="12"/>
      <c r="Q80" s="12"/>
      <c r="R80" s="12"/>
      <c r="S80" s="12"/>
      <c r="T80" s="12"/>
      <c r="U80" s="12"/>
      <c r="V80" s="12"/>
      <c r="W80" s="12"/>
      <c r="X80" s="51"/>
      <c r="Y80" s="51"/>
      <c r="Z80" s="41"/>
      <c r="AA80" s="45"/>
      <c r="AB80" s="41"/>
      <c r="AC80" s="41"/>
      <c r="AD80" s="41"/>
      <c r="AE80" s="45"/>
    </row>
    <row r="81" spans="1:32" ht="17.399999999999999" x14ac:dyDescent="0.35">
      <c r="A81" s="7">
        <v>44739</v>
      </c>
      <c r="B81" s="10">
        <f t="shared" si="11"/>
        <v>40</v>
      </c>
      <c r="C81" s="12"/>
      <c r="D81" s="12"/>
      <c r="E81" s="12"/>
      <c r="F81" s="12"/>
      <c r="G81" s="12"/>
      <c r="H81" s="18">
        <v>1.018</v>
      </c>
      <c r="I81" s="18">
        <f>(1.301+1.293+1.296)/3</f>
        <v>1.2966666666666666</v>
      </c>
      <c r="J81" s="12">
        <v>20</v>
      </c>
      <c r="K81" s="19">
        <f t="shared" si="8"/>
        <v>13.93333333333333</v>
      </c>
      <c r="L81" s="18">
        <v>152.02600000000001</v>
      </c>
      <c r="M81" s="18">
        <v>152.238</v>
      </c>
      <c r="N81" s="19">
        <f t="shared" si="21"/>
        <v>10.599999999999454</v>
      </c>
      <c r="O81" s="19">
        <f t="shared" si="22"/>
        <v>1.3144654088050989</v>
      </c>
      <c r="P81" s="12"/>
      <c r="Q81" s="12"/>
      <c r="R81" s="12"/>
      <c r="S81" s="12"/>
      <c r="T81" s="12"/>
      <c r="U81" s="12"/>
      <c r="V81" s="12"/>
      <c r="W81" s="12"/>
      <c r="X81" s="51"/>
      <c r="Y81" s="51"/>
      <c r="Z81" s="41"/>
      <c r="AA81" s="45"/>
      <c r="AB81" s="41"/>
      <c r="AC81" s="41"/>
      <c r="AD81" s="41"/>
      <c r="AE81" s="45"/>
    </row>
    <row r="82" spans="1:32" s="11" customFormat="1" ht="17.399999999999999" x14ac:dyDescent="0.35">
      <c r="A82" s="9">
        <v>44741</v>
      </c>
      <c r="B82" s="10">
        <f t="shared" si="11"/>
        <v>42</v>
      </c>
      <c r="C82" s="38"/>
      <c r="D82" s="38"/>
      <c r="E82" s="38"/>
      <c r="F82" s="38"/>
      <c r="G82" s="38"/>
      <c r="H82" s="39">
        <f>(1.032+1.034+1.038)/3</f>
        <v>1.0346666666666666</v>
      </c>
      <c r="I82" s="39">
        <f>(1.24+1.248+1.244)/3</f>
        <v>1.244</v>
      </c>
      <c r="J82" s="38">
        <v>20</v>
      </c>
      <c r="K82" s="40">
        <f t="shared" si="8"/>
        <v>10.466666666666669</v>
      </c>
      <c r="L82" s="39">
        <f>(154.774+154.773+154.769)/3</f>
        <v>154.77200000000002</v>
      </c>
      <c r="M82" s="39">
        <v>154.94300000000001</v>
      </c>
      <c r="N82" s="40">
        <f t="shared" si="21"/>
        <v>8.5499999999996135</v>
      </c>
      <c r="O82" s="40">
        <f t="shared" si="22"/>
        <v>1.2241715399610693</v>
      </c>
      <c r="P82" s="38"/>
      <c r="Q82" s="38"/>
      <c r="R82" s="38"/>
      <c r="S82" s="38"/>
      <c r="T82" s="38"/>
      <c r="U82" s="38"/>
      <c r="V82" s="38"/>
      <c r="W82" s="38"/>
      <c r="X82" s="39">
        <f>(1.028+1.022+1.026)/3</f>
        <v>1.0253333333333332</v>
      </c>
      <c r="Y82" s="39">
        <v>1.17</v>
      </c>
      <c r="Z82" s="38">
        <v>25</v>
      </c>
      <c r="AA82" s="40">
        <f t="shared" ref="AA82:AA116" si="25">(Y82-X82)/Z82*1000</f>
        <v>5.7866666666666688</v>
      </c>
      <c r="AB82" s="39">
        <v>49.652000000000001</v>
      </c>
      <c r="AC82" s="39">
        <f>(49.696+49.69+49.694)/3</f>
        <v>49.693333333333328</v>
      </c>
      <c r="AD82" s="40">
        <f t="shared" ref="AD82" si="26">(AC82-AB82)/Z82*1000</f>
        <v>1.6533333333330802</v>
      </c>
      <c r="AE82" s="40">
        <f t="shared" ref="AE82" si="27">AA82/AD82</f>
        <v>3.5000000000005373</v>
      </c>
      <c r="AF82" s="11">
        <v>20</v>
      </c>
    </row>
    <row r="83" spans="1:32" ht="17.399999999999999" x14ac:dyDescent="0.35">
      <c r="A83" s="7">
        <v>44742</v>
      </c>
      <c r="B83" s="10">
        <f t="shared" si="11"/>
        <v>43</v>
      </c>
      <c r="C83" s="12"/>
      <c r="D83" s="12"/>
      <c r="E83" s="12"/>
      <c r="F83" s="12"/>
      <c r="G83" s="12"/>
      <c r="H83" s="18"/>
      <c r="I83" s="18"/>
      <c r="J83" s="12"/>
      <c r="K83" s="19"/>
      <c r="L83" s="18"/>
      <c r="M83" s="18"/>
      <c r="N83" s="19"/>
      <c r="O83" s="19"/>
      <c r="P83" s="12"/>
      <c r="Q83" s="12"/>
      <c r="R83" s="12"/>
      <c r="S83" s="12"/>
      <c r="T83" s="12"/>
      <c r="U83" s="12"/>
      <c r="V83" s="12"/>
      <c r="W83" s="12"/>
      <c r="X83" s="18">
        <v>1.0069999999999999</v>
      </c>
      <c r="Y83" s="18">
        <f>(1.187+1.19+1.194)/3</f>
        <v>1.1903333333333332</v>
      </c>
      <c r="Z83" s="12">
        <v>25</v>
      </c>
      <c r="AA83" s="19">
        <f t="shared" si="25"/>
        <v>7.3333333333333339</v>
      </c>
      <c r="AB83" s="18">
        <f>(50.83+50.829+50.828)/3</f>
        <v>50.829000000000001</v>
      </c>
      <c r="AC83" s="18">
        <f>(50.892+50.894+50.895)/3</f>
        <v>50.893666666666668</v>
      </c>
      <c r="AD83" s="19">
        <f t="shared" ref="AD83:AD96" si="28">(AC83-AB83)/Z83*1000</f>
        <v>2.5866666666667015</v>
      </c>
      <c r="AE83" s="19">
        <f t="shared" ref="AE83:AE96" si="29">AA83/AD83</f>
        <v>2.8350515463917145</v>
      </c>
    </row>
    <row r="84" spans="1:32" ht="17.399999999999999" x14ac:dyDescent="0.35">
      <c r="A84" s="7">
        <v>44743</v>
      </c>
      <c r="B84" s="10">
        <f t="shared" si="11"/>
        <v>44</v>
      </c>
      <c r="C84" s="12"/>
      <c r="D84" s="12"/>
      <c r="E84" s="12"/>
      <c r="F84" s="12"/>
      <c r="G84" s="12"/>
      <c r="H84" s="18"/>
      <c r="I84" s="18"/>
      <c r="J84" s="12"/>
      <c r="K84" s="19"/>
      <c r="L84" s="18"/>
      <c r="M84" s="18"/>
      <c r="N84" s="19"/>
      <c r="O84" s="19"/>
      <c r="P84" s="12"/>
      <c r="Q84" s="12"/>
      <c r="R84" s="12"/>
      <c r="S84" s="12"/>
      <c r="T84" s="12"/>
      <c r="U84" s="12"/>
      <c r="V84" s="12"/>
      <c r="W84" s="12"/>
      <c r="X84" s="18">
        <f>(1.001+1.007+1.008)/3</f>
        <v>1.0053333333333334</v>
      </c>
      <c r="Y84" s="18">
        <f>(1.731+1.734+1.736)/3</f>
        <v>1.7336666666666665</v>
      </c>
      <c r="Z84" s="12">
        <v>20</v>
      </c>
      <c r="AA84" s="44"/>
      <c r="AB84" s="18">
        <v>50.83</v>
      </c>
      <c r="AC84" s="18">
        <v>50.896000000000001</v>
      </c>
      <c r="AD84" s="19"/>
      <c r="AE84" s="19"/>
    </row>
    <row r="85" spans="1:32" ht="17.399999999999999" x14ac:dyDescent="0.35">
      <c r="A85" s="7">
        <v>44747</v>
      </c>
      <c r="B85" s="10">
        <f t="shared" si="11"/>
        <v>48</v>
      </c>
      <c r="C85" s="12"/>
      <c r="D85" s="12"/>
      <c r="E85" s="12"/>
      <c r="F85" s="12"/>
      <c r="G85" s="12"/>
      <c r="H85" s="18"/>
      <c r="I85" s="18"/>
      <c r="J85" s="12"/>
      <c r="K85" s="19"/>
      <c r="L85" s="18"/>
      <c r="M85" s="18"/>
      <c r="N85" s="19"/>
      <c r="O85" s="19"/>
      <c r="P85" s="12"/>
      <c r="Q85" s="12"/>
      <c r="R85" s="12"/>
      <c r="S85" s="12"/>
      <c r="T85" s="12"/>
      <c r="U85" s="12"/>
      <c r="V85" s="12"/>
      <c r="W85" s="12"/>
      <c r="X85" s="18">
        <v>1.0009999999999999</v>
      </c>
      <c r="Y85" s="18">
        <f>(1.773+1.779+1.783)/3</f>
        <v>1.7783333333333331</v>
      </c>
      <c r="Z85" s="12">
        <v>20</v>
      </c>
      <c r="AA85" s="44"/>
      <c r="AB85" s="18">
        <v>154.76900000000001</v>
      </c>
      <c r="AC85" s="18">
        <v>155.21299999999999</v>
      </c>
      <c r="AD85" s="19"/>
      <c r="AE85" s="19"/>
    </row>
    <row r="86" spans="1:32" ht="17.399999999999999" x14ac:dyDescent="0.35">
      <c r="A86" s="7">
        <v>44748</v>
      </c>
      <c r="B86" s="10">
        <f t="shared" si="11"/>
        <v>49</v>
      </c>
      <c r="C86" s="12"/>
      <c r="D86" s="12"/>
      <c r="E86" s="12"/>
      <c r="F86" s="12"/>
      <c r="G86" s="12"/>
      <c r="H86" s="18"/>
      <c r="I86" s="18"/>
      <c r="J86" s="12"/>
      <c r="K86" s="19"/>
      <c r="L86" s="18"/>
      <c r="M86" s="18"/>
      <c r="N86" s="19"/>
      <c r="O86" s="19"/>
      <c r="P86" s="12"/>
      <c r="Q86" s="12"/>
      <c r="R86" s="12"/>
      <c r="S86" s="12"/>
      <c r="T86" s="12"/>
      <c r="U86" s="12"/>
      <c r="V86" s="12"/>
      <c r="W86" s="12"/>
      <c r="X86" s="18">
        <f>(1.001+1.007+1.008)/3</f>
        <v>1.0053333333333334</v>
      </c>
      <c r="Y86" s="18">
        <f>(1.731+1.734+1.736)/3</f>
        <v>1.7336666666666665</v>
      </c>
      <c r="Z86" s="12">
        <v>20</v>
      </c>
      <c r="AA86" s="44"/>
      <c r="AB86" s="18">
        <f>(49.646+49.648+49.65)/3</f>
        <v>49.648000000000003</v>
      </c>
      <c r="AC86" s="18">
        <v>50.039000000000001</v>
      </c>
      <c r="AD86" s="19"/>
      <c r="AE86" s="19"/>
    </row>
    <row r="87" spans="1:32" ht="17.399999999999999" x14ac:dyDescent="0.35">
      <c r="A87" s="7">
        <v>44750</v>
      </c>
      <c r="B87" s="10">
        <f t="shared" si="11"/>
        <v>51</v>
      </c>
      <c r="C87" s="12"/>
      <c r="D87" s="12"/>
      <c r="E87" s="12"/>
      <c r="F87" s="12"/>
      <c r="G87" s="12"/>
      <c r="H87" s="18"/>
      <c r="I87" s="18"/>
      <c r="J87" s="12"/>
      <c r="K87" s="19"/>
      <c r="L87" s="18"/>
      <c r="M87" s="18"/>
      <c r="N87" s="19"/>
      <c r="O87" s="19"/>
      <c r="P87" s="12"/>
      <c r="Q87" s="12"/>
      <c r="R87" s="12"/>
      <c r="S87" s="12"/>
      <c r="T87" s="12"/>
      <c r="U87" s="12"/>
      <c r="V87" s="12"/>
      <c r="W87" s="12"/>
      <c r="X87" s="18">
        <v>1.016</v>
      </c>
      <c r="Y87" s="18">
        <f>(1.715+1.717+1.72)/3</f>
        <v>1.7173333333333334</v>
      </c>
      <c r="Z87" s="12">
        <v>20</v>
      </c>
      <c r="AA87" s="44"/>
      <c r="AB87" s="18">
        <v>152.00899999999999</v>
      </c>
      <c r="AC87" s="18">
        <v>152.398</v>
      </c>
      <c r="AD87" s="19"/>
      <c r="AE87" s="19"/>
    </row>
    <row r="88" spans="1:32" ht="17.399999999999999" x14ac:dyDescent="0.35">
      <c r="A88" s="7">
        <v>44753</v>
      </c>
      <c r="B88" s="10">
        <f t="shared" si="11"/>
        <v>54</v>
      </c>
      <c r="C88" s="12"/>
      <c r="D88" s="12"/>
      <c r="E88" s="12"/>
      <c r="F88" s="12"/>
      <c r="G88" s="12"/>
      <c r="H88" s="18">
        <f>(1+1.003+1.004)/3</f>
        <v>1.0023333333333333</v>
      </c>
      <c r="I88" s="18">
        <v>1.2150000000000001</v>
      </c>
      <c r="J88" s="12">
        <v>20</v>
      </c>
      <c r="K88" s="19">
        <f t="shared" si="8"/>
        <v>10.633333333333338</v>
      </c>
      <c r="L88" s="18">
        <v>47.773000000000003</v>
      </c>
      <c r="M88" s="18">
        <f>(47.93+47.927+47.932)/3</f>
        <v>47.929666666666662</v>
      </c>
      <c r="N88" s="19">
        <f t="shared" ref="N88:N95" si="30">(M88-L88)/J88*1000</f>
        <v>7.83333333333296</v>
      </c>
      <c r="O88" s="19">
        <f t="shared" ref="O88:O95" si="31">K88/N88</f>
        <v>1.3574468085107037</v>
      </c>
      <c r="P88" s="12"/>
      <c r="Q88" s="12"/>
      <c r="R88" s="12"/>
      <c r="S88" s="12"/>
      <c r="T88" s="12"/>
      <c r="U88" s="12"/>
      <c r="V88" s="12"/>
      <c r="W88" s="12"/>
      <c r="X88" s="18">
        <v>1.0149999999999999</v>
      </c>
      <c r="Y88" s="18">
        <v>1.3069999999999999</v>
      </c>
      <c r="Z88" s="12">
        <v>20</v>
      </c>
      <c r="AA88" s="19">
        <f t="shared" si="25"/>
        <v>14.600000000000001</v>
      </c>
      <c r="AB88" s="18">
        <v>49.651000000000003</v>
      </c>
      <c r="AC88" s="18">
        <v>49.817999999999998</v>
      </c>
      <c r="AD88" s="19">
        <f t="shared" si="28"/>
        <v>8.3499999999997243</v>
      </c>
      <c r="AE88" s="19">
        <f t="shared" si="29"/>
        <v>1.748502994012034</v>
      </c>
    </row>
    <row r="89" spans="1:32" ht="17.399999999999999" x14ac:dyDescent="0.35">
      <c r="A89" s="7">
        <v>44755</v>
      </c>
      <c r="B89" s="10">
        <f t="shared" si="11"/>
        <v>56</v>
      </c>
      <c r="C89" s="12"/>
      <c r="D89" s="12"/>
      <c r="E89" s="12"/>
      <c r="F89" s="12"/>
      <c r="G89" s="12"/>
      <c r="H89" s="18">
        <v>1.006</v>
      </c>
      <c r="I89" s="18">
        <v>1.286</v>
      </c>
      <c r="J89" s="12">
        <v>20</v>
      </c>
      <c r="K89" s="19">
        <f t="shared" si="8"/>
        <v>14.000000000000002</v>
      </c>
      <c r="L89" s="18">
        <v>47.771000000000001</v>
      </c>
      <c r="M89" s="18">
        <v>47.941000000000003</v>
      </c>
      <c r="N89" s="19">
        <f t="shared" si="30"/>
        <v>8.5000000000000853</v>
      </c>
      <c r="O89" s="19">
        <f t="shared" si="31"/>
        <v>1.6470588235293955</v>
      </c>
      <c r="P89" s="12"/>
      <c r="Q89" s="12"/>
      <c r="R89" s="12"/>
      <c r="S89" s="12"/>
      <c r="T89" s="12"/>
      <c r="U89" s="12"/>
      <c r="V89" s="12"/>
      <c r="W89" s="12"/>
      <c r="X89" s="18">
        <v>1.016</v>
      </c>
      <c r="Y89" s="18">
        <v>1.155</v>
      </c>
      <c r="Z89" s="12">
        <v>20</v>
      </c>
      <c r="AA89" s="19">
        <f t="shared" si="25"/>
        <v>6.95</v>
      </c>
      <c r="AB89" s="18"/>
      <c r="AC89" s="18"/>
      <c r="AD89" s="19"/>
      <c r="AE89" s="19"/>
    </row>
    <row r="90" spans="1:32" ht="17.399999999999999" x14ac:dyDescent="0.35">
      <c r="A90" s="7">
        <v>44757</v>
      </c>
      <c r="B90" s="10">
        <f t="shared" si="11"/>
        <v>58</v>
      </c>
      <c r="C90" s="12"/>
      <c r="D90" s="12"/>
      <c r="E90" s="12"/>
      <c r="F90" s="12"/>
      <c r="G90" s="12"/>
      <c r="H90" s="18"/>
      <c r="I90" s="18"/>
      <c r="J90" s="12"/>
      <c r="K90" s="19"/>
      <c r="L90" s="18"/>
      <c r="M90" s="18"/>
      <c r="N90" s="19"/>
      <c r="O90" s="19"/>
      <c r="P90" s="12"/>
      <c r="Q90" s="12"/>
      <c r="R90" s="12"/>
      <c r="S90" s="12"/>
      <c r="T90" s="12"/>
      <c r="U90" s="12"/>
      <c r="V90" s="12"/>
      <c r="W90" s="12"/>
      <c r="X90" s="18">
        <f>(1.008+1.01+1.013)/3</f>
        <v>1.0103333333333333</v>
      </c>
      <c r="Y90" s="18">
        <v>1.296</v>
      </c>
      <c r="Z90" s="12">
        <v>20</v>
      </c>
      <c r="AA90" s="19">
        <f t="shared" si="25"/>
        <v>14.283333333333337</v>
      </c>
      <c r="AB90" s="18">
        <v>151.994</v>
      </c>
      <c r="AC90" s="18">
        <v>152.15899999999999</v>
      </c>
      <c r="AD90" s="19">
        <f t="shared" si="28"/>
        <v>8.2499999999996021</v>
      </c>
      <c r="AE90" s="19">
        <f t="shared" si="29"/>
        <v>1.7313131313132153</v>
      </c>
    </row>
    <row r="91" spans="1:32" ht="17.399999999999999" x14ac:dyDescent="0.35">
      <c r="A91" s="7">
        <v>44757</v>
      </c>
      <c r="B91" s="10">
        <f t="shared" si="11"/>
        <v>58</v>
      </c>
      <c r="C91" s="12"/>
      <c r="D91" s="12"/>
      <c r="E91" s="12"/>
      <c r="F91" s="12"/>
      <c r="G91" s="12"/>
      <c r="H91" s="18"/>
      <c r="I91" s="18"/>
      <c r="J91" s="12"/>
      <c r="K91" s="19"/>
      <c r="L91" s="18"/>
      <c r="M91" s="18"/>
      <c r="N91" s="19"/>
      <c r="O91" s="19"/>
      <c r="P91" s="12"/>
      <c r="Q91" s="12"/>
      <c r="R91" s="12"/>
      <c r="S91" s="12"/>
      <c r="T91" s="12"/>
      <c r="U91" s="12"/>
      <c r="V91" s="12"/>
      <c r="W91" s="12"/>
      <c r="X91" s="18">
        <v>1.0109999999999999</v>
      </c>
      <c r="Y91" s="18">
        <v>1.292</v>
      </c>
      <c r="Z91" s="12">
        <v>20</v>
      </c>
      <c r="AA91" s="19">
        <f t="shared" si="25"/>
        <v>14.050000000000008</v>
      </c>
      <c r="AB91" s="18">
        <v>154.773</v>
      </c>
      <c r="AC91" s="18">
        <f>(154.937+154.94+154.939)/3</f>
        <v>154.93866666666668</v>
      </c>
      <c r="AD91" s="19">
        <f t="shared" ref="AD91" si="32">(AC91-AB91)/Z91*1000</f>
        <v>8.283333333334042</v>
      </c>
      <c r="AE91" s="19">
        <f t="shared" ref="AE91" si="33">AA91/AD91</f>
        <v>1.6961770623741013</v>
      </c>
    </row>
    <row r="92" spans="1:32" ht="17.399999999999999" x14ac:dyDescent="0.35">
      <c r="A92" s="7">
        <v>44762</v>
      </c>
      <c r="B92" s="10">
        <f>A92-A90+B90</f>
        <v>63</v>
      </c>
      <c r="C92" s="12"/>
      <c r="D92" s="12"/>
      <c r="E92" s="12"/>
      <c r="F92" s="12"/>
      <c r="G92" s="12"/>
      <c r="H92" s="18">
        <v>1.006</v>
      </c>
      <c r="I92" s="18">
        <v>1.2230000000000001</v>
      </c>
      <c r="J92" s="12">
        <v>20</v>
      </c>
      <c r="K92" s="19">
        <f t="shared" si="8"/>
        <v>10.850000000000003</v>
      </c>
      <c r="L92" s="18">
        <v>49.65</v>
      </c>
      <c r="M92" s="18">
        <v>49.81</v>
      </c>
      <c r="N92" s="19">
        <f t="shared" si="30"/>
        <v>8.0000000000001847</v>
      </c>
      <c r="O92" s="19">
        <f t="shared" si="31"/>
        <v>1.3562499999999691</v>
      </c>
      <c r="P92" s="12"/>
      <c r="Q92" s="12"/>
      <c r="R92" s="12"/>
      <c r="S92" s="12"/>
      <c r="T92" s="12"/>
      <c r="U92" s="12"/>
      <c r="V92" s="12"/>
      <c r="W92" s="12"/>
      <c r="X92" s="18">
        <v>1.0049999999999999</v>
      </c>
      <c r="Y92" s="18">
        <v>1.2410000000000001</v>
      </c>
      <c r="Z92" s="12">
        <v>20</v>
      </c>
      <c r="AA92" s="19">
        <f t="shared" si="25"/>
        <v>11.80000000000001</v>
      </c>
      <c r="AB92" s="18">
        <v>50.829000000000001</v>
      </c>
      <c r="AC92" s="18">
        <v>50.976999999999997</v>
      </c>
      <c r="AD92" s="19">
        <f t="shared" si="28"/>
        <v>7.3999999999998067</v>
      </c>
      <c r="AE92" s="19">
        <f t="shared" si="29"/>
        <v>1.5945945945946376</v>
      </c>
    </row>
    <row r="93" spans="1:32" ht="17.399999999999999" x14ac:dyDescent="0.35">
      <c r="A93" s="7">
        <v>44764</v>
      </c>
      <c r="B93" s="10">
        <f t="shared" si="11"/>
        <v>65</v>
      </c>
      <c r="C93" s="12"/>
      <c r="D93" s="12"/>
      <c r="E93" s="12"/>
      <c r="F93" s="12"/>
      <c r="G93" s="12"/>
      <c r="H93" s="18">
        <v>1.004</v>
      </c>
      <c r="I93" s="18">
        <v>1.1659999999999999</v>
      </c>
      <c r="J93" s="12">
        <v>20</v>
      </c>
      <c r="K93" s="19">
        <f t="shared" si="8"/>
        <v>8.0999999999999961</v>
      </c>
      <c r="L93" s="18">
        <v>54.43</v>
      </c>
      <c r="M93" s="18">
        <v>54.540999999999997</v>
      </c>
      <c r="N93" s="19">
        <f t="shared" si="30"/>
        <v>5.549999999999855</v>
      </c>
      <c r="O93" s="19">
        <f t="shared" si="31"/>
        <v>1.459459459459497</v>
      </c>
      <c r="P93" s="12"/>
      <c r="Q93" s="12"/>
      <c r="R93" s="12"/>
      <c r="S93" s="12"/>
      <c r="T93" s="12"/>
      <c r="U93" s="12"/>
      <c r="V93" s="12"/>
      <c r="W93" s="12"/>
      <c r="X93" s="18">
        <v>1.032</v>
      </c>
      <c r="Y93" s="18">
        <v>1.198</v>
      </c>
      <c r="Z93" s="12">
        <v>20</v>
      </c>
      <c r="AA93" s="19">
        <f t="shared" si="25"/>
        <v>8.2999999999999972</v>
      </c>
      <c r="AB93" s="18">
        <v>47.963000000000001</v>
      </c>
      <c r="AC93" s="18">
        <v>48.072000000000003</v>
      </c>
      <c r="AD93" s="19">
        <f t="shared" si="28"/>
        <v>5.4500000000000881</v>
      </c>
      <c r="AE93" s="19">
        <f t="shared" si="29"/>
        <v>1.5229357798164886</v>
      </c>
    </row>
    <row r="94" spans="1:32" s="11" customFormat="1" ht="17.399999999999999" x14ac:dyDescent="0.35">
      <c r="A94" s="9">
        <v>44767</v>
      </c>
      <c r="B94" s="10">
        <f t="shared" si="11"/>
        <v>68</v>
      </c>
      <c r="C94" s="38"/>
      <c r="D94" s="38"/>
      <c r="E94" s="38"/>
      <c r="F94" s="38"/>
      <c r="G94" s="38"/>
      <c r="H94" s="39">
        <v>1.01</v>
      </c>
      <c r="I94" s="39">
        <v>1.087</v>
      </c>
      <c r="J94" s="38">
        <v>20</v>
      </c>
      <c r="K94" s="40">
        <f t="shared" si="8"/>
        <v>3.8499999999999979</v>
      </c>
      <c r="L94" s="39">
        <v>40.548999999999999</v>
      </c>
      <c r="M94" s="39">
        <v>40.6</v>
      </c>
      <c r="N94" s="40">
        <f t="shared" si="30"/>
        <v>2.5500000000000966</v>
      </c>
      <c r="O94" s="40">
        <f t="shared" si="31"/>
        <v>1.5098039215685695</v>
      </c>
      <c r="P94" s="38"/>
      <c r="Q94" s="38"/>
      <c r="R94" s="38"/>
      <c r="S94" s="38"/>
      <c r="T94" s="38"/>
      <c r="U94" s="38"/>
      <c r="V94" s="38"/>
      <c r="W94" s="38"/>
      <c r="X94" s="39">
        <v>0.99099999999999999</v>
      </c>
      <c r="Y94" s="39">
        <v>1.0029999999999999</v>
      </c>
      <c r="Z94" s="38">
        <v>20</v>
      </c>
      <c r="AA94" s="40">
        <f t="shared" si="25"/>
        <v>0.59999999999999498</v>
      </c>
      <c r="AB94" s="38">
        <v>154.77500000000001</v>
      </c>
      <c r="AC94" s="38">
        <v>154.78200000000001</v>
      </c>
      <c r="AD94" s="40">
        <f t="shared" si="28"/>
        <v>0.35000000000025011</v>
      </c>
      <c r="AE94" s="40">
        <f t="shared" si="29"/>
        <v>1.714285714284475</v>
      </c>
      <c r="AF94" s="11">
        <v>20</v>
      </c>
    </row>
    <row r="95" spans="1:32" ht="17.399999999999999" x14ac:dyDescent="0.35">
      <c r="A95" s="7">
        <v>44768</v>
      </c>
      <c r="B95" s="10">
        <f t="shared" si="11"/>
        <v>69</v>
      </c>
      <c r="C95" s="12"/>
      <c r="D95" s="12"/>
      <c r="E95" s="12"/>
      <c r="F95" s="12"/>
      <c r="G95" s="12"/>
      <c r="H95" s="18">
        <v>0.89</v>
      </c>
      <c r="I95" s="18">
        <v>1.052</v>
      </c>
      <c r="J95" s="12">
        <v>20</v>
      </c>
      <c r="K95" s="19">
        <f t="shared" si="8"/>
        <v>8.1000000000000014</v>
      </c>
      <c r="L95" s="18">
        <v>47.774999999999999</v>
      </c>
      <c r="M95" s="18">
        <v>47.811</v>
      </c>
      <c r="N95" s="19">
        <f t="shared" si="30"/>
        <v>1.8000000000000682</v>
      </c>
      <c r="O95" s="19">
        <f t="shared" si="31"/>
        <v>4.4999999999998304</v>
      </c>
      <c r="P95" s="12"/>
      <c r="Q95" s="12"/>
      <c r="R95" s="12"/>
      <c r="S95" s="12"/>
      <c r="T95" s="12"/>
      <c r="U95" s="12"/>
      <c r="V95" s="12"/>
      <c r="W95" s="12"/>
      <c r="X95" s="18">
        <v>1.0069999999999999</v>
      </c>
      <c r="Y95" s="18">
        <v>1.034</v>
      </c>
      <c r="Z95" s="12">
        <v>20</v>
      </c>
      <c r="AA95" s="19">
        <f t="shared" si="25"/>
        <v>1.3500000000000068</v>
      </c>
      <c r="AB95" s="12">
        <v>151.99</v>
      </c>
      <c r="AC95" s="12">
        <v>152</v>
      </c>
      <c r="AD95" s="19">
        <f t="shared" si="28"/>
        <v>0.49999999999954531</v>
      </c>
      <c r="AE95" s="19">
        <f t="shared" si="29"/>
        <v>2.7000000000024689</v>
      </c>
    </row>
    <row r="96" spans="1:32" ht="17.399999999999999" x14ac:dyDescent="0.35">
      <c r="A96" s="7">
        <v>44769</v>
      </c>
      <c r="B96" s="10">
        <f t="shared" si="11"/>
        <v>70</v>
      </c>
      <c r="C96" s="12"/>
      <c r="D96" s="12"/>
      <c r="E96" s="12"/>
      <c r="F96" s="12"/>
      <c r="G96" s="12"/>
      <c r="H96" s="18"/>
      <c r="I96" s="18"/>
      <c r="J96" s="12"/>
      <c r="K96" s="19"/>
      <c r="L96" s="18"/>
      <c r="M96" s="18"/>
      <c r="N96" s="19"/>
      <c r="O96" s="19"/>
      <c r="P96" s="12"/>
      <c r="Q96" s="12"/>
      <c r="R96" s="12"/>
      <c r="S96" s="12"/>
      <c r="T96" s="12"/>
      <c r="U96" s="12"/>
      <c r="V96" s="12"/>
      <c r="W96" s="12"/>
      <c r="X96" s="18">
        <v>0.99399999999999999</v>
      </c>
      <c r="Y96" s="18">
        <v>1.0589999999999999</v>
      </c>
      <c r="Z96" s="12">
        <v>20</v>
      </c>
      <c r="AA96" s="19">
        <f t="shared" si="25"/>
        <v>3.2499999999999973</v>
      </c>
      <c r="AB96" s="12">
        <v>50.829000000000001</v>
      </c>
      <c r="AC96" s="12">
        <v>50.853000000000002</v>
      </c>
      <c r="AD96" s="19">
        <f t="shared" si="28"/>
        <v>1.2000000000000455</v>
      </c>
      <c r="AE96" s="19">
        <f t="shared" si="29"/>
        <v>2.7083333333332287</v>
      </c>
    </row>
    <row r="97" spans="1:31" ht="17.399999999999999" x14ac:dyDescent="0.35">
      <c r="A97" s="7">
        <v>44770</v>
      </c>
      <c r="B97" s="10">
        <f t="shared" si="11"/>
        <v>71</v>
      </c>
      <c r="C97" s="12"/>
      <c r="D97" s="12"/>
      <c r="E97" s="12"/>
      <c r="F97" s="12"/>
      <c r="G97" s="12"/>
      <c r="H97" s="18">
        <v>1.0049999999999999</v>
      </c>
      <c r="I97" s="18">
        <v>1.1160000000000001</v>
      </c>
      <c r="J97" s="12">
        <v>20</v>
      </c>
      <c r="K97" s="19">
        <f t="shared" si="8"/>
        <v>5.5500000000000105</v>
      </c>
      <c r="L97" s="18">
        <v>40.110999999999997</v>
      </c>
      <c r="M97" s="18">
        <v>40.185000000000002</v>
      </c>
      <c r="N97" s="19">
        <f t="shared" ref="N97" si="34">(M97-L97)/J97*1000</f>
        <v>3.7000000000002586</v>
      </c>
      <c r="O97" s="19">
        <f t="shared" ref="O97" si="35">K97/N97</f>
        <v>1.4999999999998981</v>
      </c>
      <c r="P97" s="12"/>
      <c r="Q97" s="12"/>
      <c r="R97" s="12"/>
      <c r="S97" s="12"/>
      <c r="T97" s="12"/>
      <c r="U97" s="12"/>
      <c r="V97" s="12"/>
      <c r="W97" s="12"/>
      <c r="X97" s="18">
        <v>1.006</v>
      </c>
      <c r="Y97" s="18">
        <v>1.107</v>
      </c>
      <c r="Z97" s="12">
        <v>20</v>
      </c>
      <c r="AA97" s="19">
        <f t="shared" si="25"/>
        <v>5.0499999999999989</v>
      </c>
      <c r="AB97" s="12">
        <v>49.649000000000001</v>
      </c>
      <c r="AC97" s="12">
        <v>49.683</v>
      </c>
      <c r="AD97" s="19">
        <f t="shared" ref="AD97:AD99" si="36">(AC97-AB97)/Z97*1000</f>
        <v>1.699999999999946</v>
      </c>
      <c r="AE97" s="19">
        <f t="shared" ref="AE97:AE99" si="37">AA97/AD97</f>
        <v>2.9705882352942115</v>
      </c>
    </row>
    <row r="98" spans="1:31" ht="17.399999999999999" x14ac:dyDescent="0.35">
      <c r="A98" s="7">
        <v>44771</v>
      </c>
      <c r="B98" s="10">
        <f t="shared" si="11"/>
        <v>72</v>
      </c>
      <c r="C98" s="12"/>
      <c r="D98" s="12"/>
      <c r="E98" s="12"/>
      <c r="F98" s="12"/>
      <c r="G98" s="12"/>
      <c r="H98" s="18"/>
      <c r="I98" s="18"/>
      <c r="J98" s="12"/>
      <c r="K98" s="19"/>
      <c r="L98" s="18"/>
      <c r="M98" s="18"/>
      <c r="N98" s="19"/>
      <c r="O98" s="19"/>
      <c r="P98" s="12"/>
      <c r="Q98" s="12"/>
      <c r="R98" s="12"/>
      <c r="S98" s="12"/>
      <c r="T98" s="12"/>
      <c r="U98" s="12"/>
      <c r="V98" s="12"/>
      <c r="W98" s="12"/>
      <c r="X98" s="18">
        <v>1.038</v>
      </c>
      <c r="Y98" s="18">
        <v>1.1359999999999999</v>
      </c>
      <c r="Z98" s="12">
        <v>20</v>
      </c>
      <c r="AA98" s="19">
        <f t="shared" si="25"/>
        <v>4.8999999999999932</v>
      </c>
      <c r="AB98" s="12">
        <v>47.773000000000003</v>
      </c>
      <c r="AC98" s="12">
        <v>47.808</v>
      </c>
      <c r="AD98" s="19">
        <f t="shared" si="36"/>
        <v>1.7499999999998295</v>
      </c>
      <c r="AE98" s="19">
        <f t="shared" si="37"/>
        <v>2.8000000000002689</v>
      </c>
    </row>
    <row r="99" spans="1:31" ht="17.399999999999999" x14ac:dyDescent="0.35">
      <c r="A99" s="7">
        <v>44775</v>
      </c>
      <c r="B99" s="10">
        <f t="shared" si="11"/>
        <v>76</v>
      </c>
      <c r="C99" s="12"/>
      <c r="D99" s="12"/>
      <c r="E99" s="12"/>
      <c r="F99" s="12"/>
      <c r="G99" s="12"/>
      <c r="H99" s="18"/>
      <c r="I99" s="18"/>
      <c r="J99" s="12"/>
      <c r="K99" s="19"/>
      <c r="L99" s="18"/>
      <c r="M99" s="18"/>
      <c r="N99" s="19"/>
      <c r="O99" s="19"/>
      <c r="P99" s="12"/>
      <c r="Q99" s="12"/>
      <c r="R99" s="12"/>
      <c r="S99" s="12"/>
      <c r="T99" s="12"/>
      <c r="U99" s="12"/>
      <c r="V99" s="12"/>
      <c r="W99" s="12"/>
      <c r="X99" s="18">
        <v>1.0089999999999999</v>
      </c>
      <c r="Y99" s="18">
        <v>1.1120000000000001</v>
      </c>
      <c r="Z99" s="12">
        <v>20</v>
      </c>
      <c r="AA99" s="19">
        <f t="shared" si="25"/>
        <v>5.1500000000000101</v>
      </c>
      <c r="AB99" s="12">
        <v>47.962000000000003</v>
      </c>
      <c r="AC99" s="12">
        <v>48.002000000000002</v>
      </c>
      <c r="AD99" s="12">
        <f t="shared" si="36"/>
        <v>1.9999999999999576</v>
      </c>
      <c r="AE99" s="19">
        <f t="shared" si="37"/>
        <v>2.5750000000000597</v>
      </c>
    </row>
    <row r="100" spans="1:31" ht="17.399999999999999" x14ac:dyDescent="0.35">
      <c r="A100" s="7">
        <v>44776</v>
      </c>
      <c r="B100" s="10">
        <f t="shared" si="11"/>
        <v>77</v>
      </c>
      <c r="C100" s="12"/>
      <c r="D100" s="12"/>
      <c r="E100" s="12"/>
      <c r="F100" s="12"/>
      <c r="G100" s="12"/>
      <c r="H100" s="18"/>
      <c r="I100" s="18"/>
      <c r="J100" s="12"/>
      <c r="K100" s="19"/>
      <c r="L100" s="18"/>
      <c r="M100" s="18"/>
      <c r="N100" s="19"/>
      <c r="O100" s="19"/>
      <c r="P100" s="12"/>
      <c r="Q100" s="12"/>
      <c r="R100" s="12"/>
      <c r="S100" s="12"/>
      <c r="T100" s="12"/>
      <c r="U100" s="12"/>
      <c r="V100" s="12"/>
      <c r="W100" s="12"/>
      <c r="X100" s="18">
        <v>1.0029999999999999</v>
      </c>
      <c r="Y100" s="18">
        <v>1.1080000000000001</v>
      </c>
      <c r="Z100" s="12">
        <v>20</v>
      </c>
      <c r="AA100" s="19">
        <f t="shared" si="25"/>
        <v>5.2500000000000098</v>
      </c>
      <c r="AB100" s="12">
        <v>151.983</v>
      </c>
      <c r="AC100" s="12">
        <v>152.017</v>
      </c>
      <c r="AD100" s="12">
        <f t="shared" ref="AD100:AD103" si="38">(AC100-AB100)/Z100*1000</f>
        <v>1.6999999999995907</v>
      </c>
      <c r="AE100" s="19">
        <f t="shared" ref="AE100:AE103" si="39">AA100/AD100</f>
        <v>3.0882352941183964</v>
      </c>
    </row>
    <row r="101" spans="1:31" ht="17.399999999999999" x14ac:dyDescent="0.35">
      <c r="A101" s="7">
        <v>44778</v>
      </c>
      <c r="B101" s="10">
        <f t="shared" si="11"/>
        <v>79</v>
      </c>
      <c r="C101" s="12"/>
      <c r="D101" s="12"/>
      <c r="E101" s="12"/>
      <c r="F101" s="12"/>
      <c r="G101" s="12"/>
      <c r="H101" s="18">
        <v>1.002</v>
      </c>
      <c r="I101" s="18">
        <v>1.093</v>
      </c>
      <c r="J101" s="12">
        <v>20</v>
      </c>
      <c r="K101" s="19">
        <f t="shared" si="8"/>
        <v>4.5499999999999989</v>
      </c>
      <c r="L101" s="18">
        <v>154.773</v>
      </c>
      <c r="M101" s="18">
        <v>154.82499999999999</v>
      </c>
      <c r="N101" s="19">
        <f t="shared" ref="N101:N103" si="40">(M101-L101)/J101*1000</f>
        <v>2.5999999999996248</v>
      </c>
      <c r="O101" s="19">
        <f t="shared" ref="O101:O103" si="41">K101/N101</f>
        <v>1.750000000000252</v>
      </c>
      <c r="P101" s="12"/>
      <c r="Q101" s="12"/>
      <c r="R101" s="12"/>
      <c r="S101" s="12"/>
      <c r="T101" s="12"/>
      <c r="U101" s="12"/>
      <c r="V101" s="12"/>
      <c r="W101" s="12"/>
      <c r="X101" s="18">
        <f>(1.024+1.032+1.031+1.033)/4</f>
        <v>1.0299999999999998</v>
      </c>
      <c r="Y101" s="18">
        <v>1.1040000000000001</v>
      </c>
      <c r="Z101" s="12">
        <v>20</v>
      </c>
      <c r="AA101" s="19">
        <f t="shared" si="25"/>
        <v>3.7000000000000144</v>
      </c>
      <c r="AB101" s="12">
        <v>40.543999999999997</v>
      </c>
      <c r="AC101" s="12">
        <v>40.58</v>
      </c>
      <c r="AD101" s="12">
        <f t="shared" si="38"/>
        <v>1.8000000000000682</v>
      </c>
      <c r="AE101" s="19">
        <f t="shared" si="39"/>
        <v>2.0555555555554856</v>
      </c>
    </row>
    <row r="102" spans="1:31" ht="17.399999999999999" x14ac:dyDescent="0.35">
      <c r="A102" s="7">
        <v>44781</v>
      </c>
      <c r="B102" s="10">
        <f t="shared" si="11"/>
        <v>82</v>
      </c>
      <c r="C102" s="12"/>
      <c r="D102" s="12"/>
      <c r="E102" s="12"/>
      <c r="F102" s="12"/>
      <c r="G102" s="12"/>
      <c r="H102" s="18">
        <v>1.026</v>
      </c>
      <c r="I102" s="18">
        <v>1.1850000000000001</v>
      </c>
      <c r="J102" s="12">
        <v>20</v>
      </c>
      <c r="K102" s="19">
        <f t="shared" si="8"/>
        <v>7.950000000000002</v>
      </c>
      <c r="L102" s="18">
        <v>40.113</v>
      </c>
      <c r="M102" s="18">
        <v>40.216000000000001</v>
      </c>
      <c r="N102" s="19">
        <f t="shared" si="40"/>
        <v>5.1500000000000767</v>
      </c>
      <c r="O102" s="19">
        <f t="shared" si="41"/>
        <v>1.5436893203883268</v>
      </c>
      <c r="P102" s="12"/>
      <c r="Q102" s="12"/>
      <c r="R102" s="12"/>
      <c r="S102" s="12"/>
      <c r="T102" s="12"/>
      <c r="U102" s="12"/>
      <c r="V102" s="12"/>
      <c r="W102" s="12"/>
      <c r="X102" s="36">
        <v>1.038</v>
      </c>
      <c r="Y102" s="18">
        <f>(1.095+1.102+1.105)/3</f>
        <v>1.1006666666666667</v>
      </c>
      <c r="Z102" s="12">
        <v>20</v>
      </c>
      <c r="AA102" s="19">
        <f t="shared" si="25"/>
        <v>3.1333333333333324</v>
      </c>
      <c r="AB102" s="12">
        <v>50.83</v>
      </c>
      <c r="AC102" s="12">
        <v>50.866</v>
      </c>
      <c r="AD102" s="12">
        <f t="shared" si="38"/>
        <v>1.8000000000000682</v>
      </c>
      <c r="AE102" s="19">
        <f t="shared" si="39"/>
        <v>1.7407407407406743</v>
      </c>
    </row>
    <row r="103" spans="1:31" ht="17.399999999999999" x14ac:dyDescent="0.35">
      <c r="A103" s="7">
        <v>44783</v>
      </c>
      <c r="B103" s="10">
        <f t="shared" si="11"/>
        <v>84</v>
      </c>
      <c r="C103" s="12"/>
      <c r="D103" s="12"/>
      <c r="E103" s="12"/>
      <c r="F103" s="12"/>
      <c r="G103" s="12"/>
      <c r="H103" s="18">
        <v>1.0389999999999999</v>
      </c>
      <c r="I103" s="18">
        <v>1.165</v>
      </c>
      <c r="J103" s="12">
        <v>20</v>
      </c>
      <c r="K103" s="19">
        <f t="shared" si="8"/>
        <v>6.3000000000000052</v>
      </c>
      <c r="L103" s="18">
        <v>47.963999999999999</v>
      </c>
      <c r="M103" s="18">
        <v>48.045000000000002</v>
      </c>
      <c r="N103" s="19">
        <f t="shared" si="40"/>
        <v>4.0500000000001535</v>
      </c>
      <c r="O103" s="19">
        <f t="shared" si="41"/>
        <v>1.5555555555554978</v>
      </c>
      <c r="P103" s="12"/>
      <c r="Q103" s="12"/>
      <c r="R103" s="12"/>
      <c r="S103" s="12"/>
      <c r="T103" s="12"/>
      <c r="U103" s="12"/>
      <c r="V103" s="12"/>
      <c r="W103" s="12"/>
      <c r="X103" s="36">
        <v>1.0189999999999999</v>
      </c>
      <c r="Y103" s="18">
        <f>(1.117+1.13+1.125+1.127)/4</f>
        <v>1.1247499999999999</v>
      </c>
      <c r="Z103" s="12">
        <v>20</v>
      </c>
      <c r="AA103" s="19">
        <f t="shared" si="25"/>
        <v>5.2875000000000005</v>
      </c>
      <c r="AB103" s="12">
        <v>54.43</v>
      </c>
      <c r="AC103" s="12">
        <v>54.466999999999999</v>
      </c>
      <c r="AD103" s="12">
        <f t="shared" si="38"/>
        <v>1.8499999999999517</v>
      </c>
      <c r="AE103" s="19">
        <f t="shared" si="39"/>
        <v>2.8581081081081829</v>
      </c>
    </row>
    <row r="104" spans="1:31" ht="17.399999999999999" x14ac:dyDescent="0.35">
      <c r="A104" s="7">
        <v>44785</v>
      </c>
      <c r="B104" s="10">
        <f t="shared" si="11"/>
        <v>86</v>
      </c>
      <c r="C104" s="12"/>
      <c r="D104" s="12"/>
      <c r="E104" s="12"/>
      <c r="F104" s="12"/>
      <c r="G104" s="12"/>
      <c r="H104" s="18"/>
      <c r="I104" s="18"/>
      <c r="J104" s="12"/>
      <c r="K104" s="19"/>
      <c r="L104" s="18"/>
      <c r="M104" s="18"/>
      <c r="N104" s="19"/>
      <c r="O104" s="19"/>
      <c r="P104" s="12"/>
      <c r="Q104" s="12"/>
      <c r="R104" s="12"/>
      <c r="S104" s="12"/>
      <c r="T104" s="12"/>
      <c r="U104" s="12"/>
      <c r="V104" s="12"/>
      <c r="W104" s="12"/>
      <c r="X104" s="18"/>
      <c r="Y104" s="18"/>
      <c r="Z104" s="12"/>
      <c r="AA104" s="19"/>
      <c r="AB104" s="12"/>
      <c r="AC104" s="12"/>
      <c r="AD104" s="12"/>
      <c r="AE104" s="19"/>
    </row>
    <row r="105" spans="1:31" ht="17.399999999999999" x14ac:dyDescent="0.35">
      <c r="A105" s="7">
        <v>44788</v>
      </c>
      <c r="B105" s="10">
        <f t="shared" si="11"/>
        <v>89</v>
      </c>
      <c r="C105" s="12"/>
      <c r="D105" s="12"/>
      <c r="E105" s="12"/>
      <c r="F105" s="12"/>
      <c r="G105" s="12"/>
      <c r="H105" s="18"/>
      <c r="I105" s="18"/>
      <c r="J105" s="12"/>
      <c r="K105" s="19"/>
      <c r="L105" s="18"/>
      <c r="M105" s="18"/>
      <c r="N105" s="19"/>
      <c r="O105" s="19"/>
      <c r="P105" s="12"/>
      <c r="Q105" s="12"/>
      <c r="R105" s="12"/>
      <c r="S105" s="12"/>
      <c r="T105" s="12"/>
      <c r="U105" s="12"/>
      <c r="V105" s="12"/>
      <c r="W105" s="12"/>
      <c r="X105" s="18"/>
      <c r="Y105" s="18"/>
      <c r="Z105" s="12"/>
      <c r="AA105" s="19"/>
      <c r="AB105" s="12"/>
      <c r="AC105" s="12"/>
      <c r="AD105" s="12"/>
      <c r="AE105" s="19"/>
    </row>
    <row r="106" spans="1:31" ht="17.399999999999999" x14ac:dyDescent="0.35">
      <c r="A106" s="7">
        <v>44790</v>
      </c>
      <c r="B106" s="10">
        <f t="shared" si="11"/>
        <v>91</v>
      </c>
      <c r="C106" s="12"/>
      <c r="D106" s="12"/>
      <c r="E106" s="12"/>
      <c r="F106" s="12"/>
      <c r="G106" s="12"/>
      <c r="H106" s="18">
        <v>1.02</v>
      </c>
      <c r="I106" s="18">
        <v>1.105</v>
      </c>
      <c r="J106" s="12">
        <v>20</v>
      </c>
      <c r="K106" s="19">
        <f t="shared" si="8"/>
        <v>4.2499999999999982</v>
      </c>
      <c r="L106" s="18">
        <v>47.774000000000001</v>
      </c>
      <c r="M106" s="18">
        <v>47.826000000000001</v>
      </c>
      <c r="N106" s="19">
        <f t="shared" ref="N106" si="42">(M106-L106)/J106*1000</f>
        <v>2.5999999999999801</v>
      </c>
      <c r="O106" s="19">
        <f t="shared" ref="O106" si="43">K106/N106</f>
        <v>1.6346153846153963</v>
      </c>
      <c r="P106" s="12"/>
      <c r="Q106" s="12"/>
      <c r="R106" s="12"/>
      <c r="S106" s="12"/>
      <c r="T106" s="12"/>
      <c r="U106" s="12"/>
      <c r="V106" s="12"/>
      <c r="W106" s="12"/>
      <c r="X106" s="18">
        <v>1.03</v>
      </c>
      <c r="Y106" s="18">
        <v>1.167</v>
      </c>
      <c r="Z106" s="12">
        <v>20</v>
      </c>
      <c r="AA106" s="19">
        <f t="shared" si="25"/>
        <v>6.8500000000000005</v>
      </c>
      <c r="AB106" s="12">
        <v>49.65</v>
      </c>
      <c r="AC106" s="12">
        <v>49.713999999999999</v>
      </c>
      <c r="AD106" s="12">
        <f t="shared" ref="AD106" si="44">(AC106-AB106)/Z106*1000</f>
        <v>3.2000000000000028</v>
      </c>
      <c r="AE106" s="19">
        <f t="shared" ref="AE106" si="45">AA106/AD106</f>
        <v>2.1406249999999982</v>
      </c>
    </row>
    <row r="107" spans="1:31" ht="17.399999999999999" x14ac:dyDescent="0.35">
      <c r="A107" s="7">
        <v>44795</v>
      </c>
      <c r="B107" s="10">
        <f t="shared" si="11"/>
        <v>96</v>
      </c>
      <c r="C107" s="12"/>
      <c r="D107" s="12"/>
      <c r="E107" s="12"/>
      <c r="F107" s="12"/>
      <c r="G107" s="12"/>
      <c r="H107" s="18">
        <v>1</v>
      </c>
      <c r="I107" s="18">
        <v>1.0429999999999999</v>
      </c>
      <c r="J107" s="12">
        <v>20</v>
      </c>
      <c r="K107" s="19">
        <f t="shared" si="8"/>
        <v>2.1499999999999964</v>
      </c>
      <c r="L107" s="18">
        <v>154.773</v>
      </c>
      <c r="M107" s="18">
        <v>154.79400000000001</v>
      </c>
      <c r="N107" s="19">
        <f t="shared" ref="N107" si="46">(M107-L107)/J107*1000</f>
        <v>1.0500000000007503</v>
      </c>
      <c r="O107" s="19">
        <f t="shared" ref="O107" si="47">K107/N107</f>
        <v>2.0476190476175811</v>
      </c>
      <c r="P107" s="12"/>
      <c r="Q107" s="12"/>
      <c r="R107" s="12"/>
      <c r="S107" s="12"/>
      <c r="T107" s="12"/>
      <c r="U107" s="12"/>
      <c r="V107" s="12"/>
      <c r="W107" s="12"/>
      <c r="X107" s="18">
        <v>1.012</v>
      </c>
      <c r="Y107" s="18">
        <v>1.139</v>
      </c>
      <c r="Z107" s="12">
        <v>20</v>
      </c>
      <c r="AA107" s="19">
        <f t="shared" si="25"/>
        <v>6.35</v>
      </c>
      <c r="AB107" s="12">
        <v>40.546999999999997</v>
      </c>
      <c r="AC107" s="12">
        <v>40.603999999999999</v>
      </c>
      <c r="AD107" s="12">
        <f t="shared" ref="AD107" si="48">(AC107-AB107)/Z107*1000</f>
        <v>2.850000000000108</v>
      </c>
      <c r="AE107" s="19">
        <f t="shared" ref="AE107" si="49">AA107/AD107</f>
        <v>2.2280701754385119</v>
      </c>
    </row>
    <row r="108" spans="1:31" ht="17.399999999999999" x14ac:dyDescent="0.35">
      <c r="A108" s="7">
        <v>44806</v>
      </c>
      <c r="B108" s="10">
        <f t="shared" si="11"/>
        <v>107</v>
      </c>
      <c r="C108" s="12"/>
      <c r="D108" s="12"/>
      <c r="E108" s="12"/>
      <c r="F108" s="12"/>
      <c r="G108" s="12"/>
      <c r="H108" s="18">
        <v>0.995</v>
      </c>
      <c r="I108" s="18">
        <v>1.1299999999999999</v>
      </c>
      <c r="J108" s="12">
        <v>20</v>
      </c>
      <c r="K108" s="19">
        <f t="shared" si="8"/>
        <v>6.7499999999999947</v>
      </c>
      <c r="L108" s="18">
        <v>151.982</v>
      </c>
      <c r="M108" s="18">
        <v>152.06399999999999</v>
      </c>
      <c r="N108" s="19">
        <f t="shared" ref="N108:N117" si="50">(M108-L108)/J108*1000</f>
        <v>4.0999999999996817</v>
      </c>
      <c r="O108" s="19">
        <f t="shared" ref="O108:O121" si="51">K108/N108</f>
        <v>1.6463414634147606</v>
      </c>
      <c r="P108" s="12"/>
      <c r="Q108" s="12"/>
      <c r="R108" s="12"/>
      <c r="S108" s="12"/>
      <c r="T108" s="12"/>
      <c r="U108" s="12"/>
      <c r="V108" s="12"/>
      <c r="W108" s="12"/>
      <c r="X108" s="18">
        <v>0.97499999999999998</v>
      </c>
      <c r="Y108" s="18">
        <v>1.266</v>
      </c>
      <c r="Z108" s="12">
        <v>20</v>
      </c>
      <c r="AA108" s="19">
        <f t="shared" si="25"/>
        <v>14.550000000000002</v>
      </c>
      <c r="AB108" s="12">
        <v>54.429000000000002</v>
      </c>
      <c r="AC108" s="12">
        <v>54.594000000000001</v>
      </c>
      <c r="AD108" s="12">
        <f t="shared" ref="AD108:AD116" si="52">(AC108-AB108)/Z108*1000</f>
        <v>8.2499999999999574</v>
      </c>
      <c r="AE108" s="19">
        <f t="shared" ref="AE108:AE121" si="53">AA108/AD108</f>
        <v>1.763636363636373</v>
      </c>
    </row>
    <row r="109" spans="1:31" ht="17.399999999999999" x14ac:dyDescent="0.35">
      <c r="A109" s="7">
        <v>44816</v>
      </c>
      <c r="B109" s="10">
        <f t="shared" si="11"/>
        <v>117</v>
      </c>
      <c r="C109" s="12"/>
      <c r="D109" s="12"/>
      <c r="E109" s="12"/>
      <c r="F109" s="12"/>
      <c r="G109" s="12"/>
      <c r="H109" s="18">
        <v>1</v>
      </c>
      <c r="I109" s="18">
        <v>1.121</v>
      </c>
      <c r="J109" s="12">
        <v>20</v>
      </c>
      <c r="K109" s="19">
        <f t="shared" ref="K109:K117" si="54">(I109-H109)/J109*1000</f>
        <v>6.05</v>
      </c>
      <c r="L109" s="18">
        <v>47.963000000000001</v>
      </c>
      <c r="M109" s="18">
        <v>48.030999999999999</v>
      </c>
      <c r="N109" s="19">
        <f t="shared" si="50"/>
        <v>3.399999999999892</v>
      </c>
      <c r="O109" s="19">
        <f t="shared" si="51"/>
        <v>1.7794117647059389</v>
      </c>
      <c r="P109" s="12"/>
      <c r="Q109" s="12"/>
      <c r="R109" s="12"/>
      <c r="S109" s="12"/>
      <c r="T109" s="12"/>
      <c r="U109" s="12"/>
      <c r="V109" s="12"/>
      <c r="W109" s="12"/>
      <c r="X109" s="18">
        <v>0.98099999999999998</v>
      </c>
      <c r="Y109" s="18">
        <v>1.3080000000000001</v>
      </c>
      <c r="Z109" s="12">
        <v>20</v>
      </c>
      <c r="AA109" s="19">
        <f t="shared" si="25"/>
        <v>16.350000000000005</v>
      </c>
      <c r="AB109" s="12">
        <v>50.83</v>
      </c>
      <c r="AC109" s="12">
        <v>51.027000000000001</v>
      </c>
      <c r="AD109" s="12">
        <f t="shared" si="52"/>
        <v>9.8500000000001364</v>
      </c>
      <c r="AE109" s="19">
        <f t="shared" si="53"/>
        <v>1.659898477157338</v>
      </c>
    </row>
    <row r="110" spans="1:31" ht="17.399999999999999" x14ac:dyDescent="0.35">
      <c r="A110" s="7">
        <v>44823</v>
      </c>
      <c r="B110" s="10">
        <f t="shared" si="11"/>
        <v>124</v>
      </c>
      <c r="C110" s="12"/>
      <c r="D110" s="12"/>
      <c r="E110" s="12"/>
      <c r="F110" s="12"/>
      <c r="G110" s="12"/>
      <c r="H110" s="18">
        <v>1.0129999999999999</v>
      </c>
      <c r="I110" s="18">
        <v>1.1080000000000001</v>
      </c>
      <c r="J110" s="12">
        <v>20</v>
      </c>
      <c r="K110" s="19">
        <f t="shared" si="54"/>
        <v>4.7500000000000098</v>
      </c>
      <c r="L110" s="18">
        <v>151.98599999999999</v>
      </c>
      <c r="M110" s="18">
        <v>152.03700000000001</v>
      </c>
      <c r="N110" s="19">
        <f t="shared" si="50"/>
        <v>2.5500000000008072</v>
      </c>
      <c r="O110" s="19">
        <f t="shared" si="51"/>
        <v>1.86274509803863</v>
      </c>
      <c r="P110" s="12"/>
      <c r="Q110" s="12"/>
      <c r="R110" s="12"/>
      <c r="S110" s="12"/>
      <c r="T110" s="12"/>
      <c r="U110" s="12"/>
      <c r="V110" s="12"/>
      <c r="W110" s="12"/>
      <c r="X110" s="18">
        <v>1.032</v>
      </c>
      <c r="Y110" s="18">
        <v>1.3560000000000001</v>
      </c>
      <c r="Z110" s="12">
        <v>20</v>
      </c>
      <c r="AA110" s="19">
        <f t="shared" si="25"/>
        <v>16.200000000000003</v>
      </c>
      <c r="AB110" s="12">
        <v>54.43</v>
      </c>
      <c r="AC110" s="12">
        <v>54.634999999999998</v>
      </c>
      <c r="AD110" s="12">
        <f t="shared" si="52"/>
        <v>10.249999999999915</v>
      </c>
      <c r="AE110" s="19">
        <f t="shared" si="53"/>
        <v>1.5804878048780622</v>
      </c>
    </row>
    <row r="111" spans="1:31" ht="17.399999999999999" x14ac:dyDescent="0.35">
      <c r="A111" s="7">
        <v>44830</v>
      </c>
      <c r="B111" s="10">
        <f t="shared" si="11"/>
        <v>131</v>
      </c>
      <c r="C111" s="12"/>
      <c r="D111" s="12"/>
      <c r="E111" s="12"/>
      <c r="F111" s="12"/>
      <c r="G111" s="12"/>
      <c r="H111" s="18">
        <v>1.03</v>
      </c>
      <c r="I111" s="18">
        <v>1.1519999999999999</v>
      </c>
      <c r="J111" s="12">
        <v>20</v>
      </c>
      <c r="K111" s="19">
        <f t="shared" si="54"/>
        <v>6.0999999999999943</v>
      </c>
      <c r="L111" s="18">
        <v>49.664999999999999</v>
      </c>
      <c r="M111" s="18">
        <v>49.726999999999997</v>
      </c>
      <c r="N111" s="19">
        <f t="shared" si="50"/>
        <v>3.0999999999998806</v>
      </c>
      <c r="O111" s="19">
        <f t="shared" si="51"/>
        <v>1.9677419354839449</v>
      </c>
      <c r="P111" s="12"/>
      <c r="Q111" s="12"/>
      <c r="R111" s="12"/>
      <c r="S111" s="12"/>
      <c r="T111" s="12"/>
      <c r="U111" s="12"/>
      <c r="V111" s="12"/>
      <c r="W111" s="12"/>
      <c r="X111" s="18">
        <v>1.0089999999999999</v>
      </c>
      <c r="Y111" s="18">
        <v>1.3380000000000001</v>
      </c>
      <c r="Z111" s="12">
        <v>20</v>
      </c>
      <c r="AA111" s="19">
        <f t="shared" si="25"/>
        <v>16.45000000000001</v>
      </c>
      <c r="AB111" s="12">
        <v>154.773</v>
      </c>
      <c r="AC111" s="12">
        <v>154.983</v>
      </c>
      <c r="AD111" s="12">
        <f t="shared" si="52"/>
        <v>10.500000000000398</v>
      </c>
      <c r="AE111" s="19">
        <f t="shared" si="53"/>
        <v>1.5666666666666083</v>
      </c>
    </row>
    <row r="112" spans="1:31" ht="17.399999999999999" x14ac:dyDescent="0.35">
      <c r="A112" s="7">
        <v>44837</v>
      </c>
      <c r="B112" s="10">
        <f t="shared" si="11"/>
        <v>138</v>
      </c>
      <c r="C112" s="12"/>
      <c r="D112" s="12"/>
      <c r="E112" s="12"/>
      <c r="F112" s="12"/>
      <c r="G112" s="12"/>
      <c r="H112" s="18">
        <v>0.96399999999999997</v>
      </c>
      <c r="I112" s="18">
        <v>1.0900000000000001</v>
      </c>
      <c r="J112" s="12">
        <v>20</v>
      </c>
      <c r="K112" s="19">
        <f t="shared" si="54"/>
        <v>6.3000000000000052</v>
      </c>
      <c r="L112" s="18"/>
      <c r="M112" s="18"/>
      <c r="N112" s="19">
        <f t="shared" si="50"/>
        <v>0</v>
      </c>
      <c r="O112" s="19"/>
      <c r="P112" s="12"/>
      <c r="Q112" s="12"/>
      <c r="R112" s="12"/>
      <c r="S112" s="12"/>
      <c r="T112" s="12"/>
      <c r="U112" s="12"/>
      <c r="V112" s="12"/>
      <c r="W112" s="12"/>
      <c r="X112" s="18">
        <v>0.95099999999999996</v>
      </c>
      <c r="Y112" s="18">
        <v>1.2809999999999999</v>
      </c>
      <c r="Z112" s="12">
        <v>20</v>
      </c>
      <c r="AA112" s="19">
        <f t="shared" si="25"/>
        <v>16.499999999999996</v>
      </c>
      <c r="AB112" s="12"/>
      <c r="AC112" s="12"/>
      <c r="AD112" s="12"/>
      <c r="AE112" s="19"/>
    </row>
    <row r="113" spans="1:31" ht="17.399999999999999" x14ac:dyDescent="0.35">
      <c r="A113" s="86">
        <v>44844</v>
      </c>
      <c r="B113" s="10">
        <f t="shared" si="11"/>
        <v>145</v>
      </c>
      <c r="C113" s="12"/>
      <c r="D113" s="12"/>
      <c r="E113" s="12"/>
      <c r="F113" s="12"/>
      <c r="G113" s="12"/>
      <c r="H113" s="18">
        <v>0.98199999999999998</v>
      </c>
      <c r="I113" s="18">
        <v>1.159</v>
      </c>
      <c r="J113" s="12">
        <v>20</v>
      </c>
      <c r="K113" s="19">
        <f t="shared" si="54"/>
        <v>8.8500000000000014</v>
      </c>
      <c r="L113" s="18">
        <v>54.430999999999997</v>
      </c>
      <c r="M113" s="18">
        <v>54.567</v>
      </c>
      <c r="N113" s="19">
        <f t="shared" si="50"/>
        <v>6.8000000000001393</v>
      </c>
      <c r="O113" s="19">
        <f t="shared" si="51"/>
        <v>1.3014705882352677</v>
      </c>
      <c r="P113" s="12"/>
      <c r="Q113" s="12"/>
      <c r="R113" s="12"/>
      <c r="S113" s="12"/>
      <c r="T113" s="12"/>
      <c r="U113" s="12"/>
      <c r="V113" s="12"/>
      <c r="W113" s="12"/>
      <c r="X113" s="18">
        <v>0.95099999999999996</v>
      </c>
      <c r="Y113" s="18">
        <v>1.1830000000000001</v>
      </c>
      <c r="Z113" s="12">
        <v>20</v>
      </c>
      <c r="AA113" s="19">
        <f t="shared" si="25"/>
        <v>11.600000000000005</v>
      </c>
      <c r="AB113" s="12">
        <v>47.963999999999999</v>
      </c>
      <c r="AC113" s="12">
        <v>48.125999999999998</v>
      </c>
      <c r="AD113" s="12">
        <f t="shared" si="52"/>
        <v>8.0999999999999517</v>
      </c>
      <c r="AE113" s="19">
        <f t="shared" si="53"/>
        <v>1.432098765432108</v>
      </c>
    </row>
    <row r="114" spans="1:31" ht="17.399999999999999" x14ac:dyDescent="0.35">
      <c r="A114" s="99">
        <v>44846</v>
      </c>
      <c r="B114" s="10">
        <f t="shared" si="11"/>
        <v>147</v>
      </c>
      <c r="C114" s="12"/>
      <c r="D114" s="12"/>
      <c r="E114" s="12"/>
      <c r="F114" s="12"/>
      <c r="G114" s="12"/>
      <c r="H114" s="18">
        <v>0.98399999999999999</v>
      </c>
      <c r="I114" s="18">
        <v>1.2729999999999999</v>
      </c>
      <c r="J114" s="12">
        <v>20</v>
      </c>
      <c r="K114" s="19">
        <f t="shared" si="54"/>
        <v>14.449999999999996</v>
      </c>
      <c r="L114" s="18">
        <v>151.983</v>
      </c>
      <c r="M114" s="18">
        <v>152.13300000000001</v>
      </c>
      <c r="N114" s="19">
        <f t="shared" si="50"/>
        <v>7.5000000000002842</v>
      </c>
      <c r="O114" s="19">
        <f t="shared" si="51"/>
        <v>1.926666666666593</v>
      </c>
      <c r="P114" s="12"/>
      <c r="Q114" s="12"/>
      <c r="R114" s="12"/>
      <c r="S114" s="12"/>
      <c r="T114" s="12"/>
      <c r="U114" s="12"/>
      <c r="V114" s="12"/>
      <c r="W114" s="12"/>
      <c r="X114" s="18"/>
      <c r="Y114" s="18"/>
      <c r="Z114" s="12"/>
      <c r="AA114" s="19"/>
      <c r="AB114" s="12"/>
      <c r="AC114" s="12"/>
      <c r="AD114" s="12"/>
      <c r="AE114" s="19"/>
    </row>
    <row r="115" spans="1:31" ht="17.399999999999999" x14ac:dyDescent="0.35">
      <c r="A115" s="86">
        <v>44848</v>
      </c>
      <c r="B115" s="10">
        <f t="shared" si="11"/>
        <v>149</v>
      </c>
      <c r="C115" s="12"/>
      <c r="D115" s="12"/>
      <c r="E115" s="12"/>
      <c r="F115" s="12"/>
      <c r="G115" s="12"/>
      <c r="H115" s="18">
        <v>0.98199999999999998</v>
      </c>
      <c r="I115" s="18">
        <v>1.1659999999999999</v>
      </c>
      <c r="J115" s="12">
        <v>20</v>
      </c>
      <c r="K115" s="19">
        <f t="shared" si="54"/>
        <v>9.1999999999999957</v>
      </c>
      <c r="L115" s="18">
        <v>49.654000000000003</v>
      </c>
      <c r="M115" s="18">
        <v>49.741999999999997</v>
      </c>
      <c r="N115" s="19">
        <f t="shared" si="50"/>
        <v>4.399999999999693</v>
      </c>
      <c r="O115" s="19">
        <f t="shared" si="51"/>
        <v>2.0909090909092356</v>
      </c>
      <c r="P115" s="12"/>
      <c r="Q115" s="12"/>
      <c r="R115" s="12"/>
      <c r="S115" s="12"/>
      <c r="T115" s="12"/>
      <c r="U115" s="12"/>
      <c r="V115" s="12"/>
      <c r="W115" s="12"/>
      <c r="X115" s="18"/>
      <c r="Y115" s="18"/>
      <c r="Z115" s="12"/>
      <c r="AA115" s="19"/>
      <c r="AB115" s="12"/>
      <c r="AC115" s="12"/>
      <c r="AD115" s="12"/>
      <c r="AE115" s="19"/>
    </row>
    <row r="116" spans="1:31" ht="17.399999999999999" x14ac:dyDescent="0.35">
      <c r="A116" s="86">
        <v>44851</v>
      </c>
      <c r="B116" s="10">
        <f t="shared" si="11"/>
        <v>152</v>
      </c>
      <c r="C116" s="12"/>
      <c r="D116" s="12"/>
      <c r="E116" s="12"/>
      <c r="F116" s="12"/>
      <c r="G116" s="12"/>
      <c r="H116" s="18">
        <v>0.98599999999999999</v>
      </c>
      <c r="I116" s="18">
        <v>1.0349999999999999</v>
      </c>
      <c r="J116" s="12">
        <v>20</v>
      </c>
      <c r="K116" s="19">
        <f t="shared" si="54"/>
        <v>2.4499999999999966</v>
      </c>
      <c r="L116" s="12">
        <v>54.430999999999997</v>
      </c>
      <c r="M116" s="12">
        <v>54.457999999999998</v>
      </c>
      <c r="N116" s="19">
        <f t="shared" si="50"/>
        <v>1.3500000000000512</v>
      </c>
      <c r="O116" s="19"/>
      <c r="P116" s="12"/>
      <c r="Q116" s="12"/>
      <c r="R116" s="12"/>
      <c r="S116" s="12"/>
      <c r="T116" s="12"/>
      <c r="U116" s="12"/>
      <c r="V116" s="12"/>
      <c r="W116" s="12"/>
      <c r="X116" s="18">
        <v>0.99299999999999999</v>
      </c>
      <c r="Y116" s="18">
        <v>1.387</v>
      </c>
      <c r="Z116" s="12">
        <v>20</v>
      </c>
      <c r="AA116" s="19">
        <f t="shared" si="25"/>
        <v>19.700000000000003</v>
      </c>
      <c r="AB116" s="18">
        <v>50.83</v>
      </c>
      <c r="AC116" s="18">
        <v>51.063000000000002</v>
      </c>
      <c r="AD116" s="12">
        <f t="shared" si="52"/>
        <v>11.650000000000205</v>
      </c>
      <c r="AE116" s="19">
        <f t="shared" si="53"/>
        <v>1.6909871244634898</v>
      </c>
    </row>
    <row r="117" spans="1:31" ht="17.399999999999999" x14ac:dyDescent="0.35">
      <c r="A117" s="86">
        <v>44853</v>
      </c>
      <c r="B117" s="10">
        <f t="shared" si="11"/>
        <v>154</v>
      </c>
      <c r="C117" s="12"/>
      <c r="D117" s="12"/>
      <c r="E117" s="12"/>
      <c r="F117" s="12"/>
      <c r="G117" s="12"/>
      <c r="H117" s="18">
        <v>0.97799999999999998</v>
      </c>
      <c r="I117" s="18">
        <v>1.1259999999999999</v>
      </c>
      <c r="J117" s="12">
        <v>20</v>
      </c>
      <c r="K117" s="19">
        <f t="shared" si="54"/>
        <v>7.399999999999995</v>
      </c>
      <c r="L117" s="18">
        <v>151.983</v>
      </c>
      <c r="M117" s="18">
        <v>152.078</v>
      </c>
      <c r="N117" s="19">
        <f t="shared" si="50"/>
        <v>4.7499999999999432</v>
      </c>
      <c r="O117" s="19">
        <f t="shared" si="51"/>
        <v>1.5578947368421228</v>
      </c>
      <c r="P117" s="12"/>
      <c r="Q117" s="12"/>
      <c r="R117" s="12"/>
      <c r="S117" s="12"/>
      <c r="T117" s="12"/>
      <c r="U117" s="12"/>
      <c r="V117" s="12"/>
      <c r="W117" s="12"/>
      <c r="X117" s="18"/>
      <c r="Y117" s="18"/>
      <c r="Z117" s="12"/>
      <c r="AA117" s="19"/>
      <c r="AB117" s="12"/>
      <c r="AC117" s="12"/>
      <c r="AD117" s="12"/>
      <c r="AE117" s="19"/>
    </row>
    <row r="118" spans="1:31" ht="17.399999999999999" x14ac:dyDescent="0.35">
      <c r="A118" s="86">
        <v>44866</v>
      </c>
      <c r="B118" s="10">
        <f t="shared" si="11"/>
        <v>167</v>
      </c>
      <c r="C118" s="12"/>
      <c r="D118" s="12"/>
      <c r="E118" s="12"/>
      <c r="F118" s="12"/>
      <c r="G118" s="12"/>
      <c r="H118" s="18"/>
      <c r="I118" s="18"/>
      <c r="J118" s="12"/>
      <c r="K118" s="19">
        <v>13.250000000000739</v>
      </c>
      <c r="L118" s="18"/>
      <c r="M118" s="18"/>
      <c r="N118" s="19">
        <v>9.6000000000000085</v>
      </c>
      <c r="O118" s="19">
        <f t="shared" si="51"/>
        <v>1.380208333333409</v>
      </c>
      <c r="P118" s="12"/>
      <c r="Q118" s="12"/>
      <c r="R118" s="12"/>
      <c r="S118" s="12"/>
      <c r="T118" s="12"/>
      <c r="U118" s="12"/>
      <c r="V118" s="12"/>
      <c r="W118" s="12"/>
      <c r="X118" s="18"/>
      <c r="Y118" s="18"/>
      <c r="Z118" s="12"/>
      <c r="AA118" s="19">
        <v>19.10000000000025</v>
      </c>
      <c r="AB118" s="12"/>
      <c r="AC118" s="12"/>
      <c r="AD118" s="12">
        <v>11.795000000000044</v>
      </c>
      <c r="AE118" s="19">
        <f t="shared" si="53"/>
        <v>1.619330224671486</v>
      </c>
    </row>
    <row r="119" spans="1:31" ht="17.399999999999999" x14ac:dyDescent="0.35">
      <c r="A119" s="86">
        <v>44873</v>
      </c>
      <c r="B119" s="10">
        <f t="shared" si="11"/>
        <v>174</v>
      </c>
      <c r="C119" s="12"/>
      <c r="D119" s="12"/>
      <c r="E119" s="12"/>
      <c r="F119" s="12"/>
      <c r="G119" s="12"/>
      <c r="H119" s="18"/>
      <c r="I119" s="18"/>
      <c r="J119" s="12"/>
      <c r="K119" s="19">
        <v>13.600000000000989</v>
      </c>
      <c r="L119" s="18"/>
      <c r="M119" s="18"/>
      <c r="N119" s="19">
        <v>10.255000000000081</v>
      </c>
      <c r="O119" s="19">
        <f t="shared" si="51"/>
        <v>1.3261823500732211</v>
      </c>
      <c r="P119" s="12"/>
      <c r="Q119" s="12"/>
      <c r="R119" s="12"/>
      <c r="S119" s="12"/>
      <c r="T119" s="12"/>
      <c r="U119" s="12"/>
      <c r="V119" s="12"/>
      <c r="W119" s="12"/>
      <c r="X119" s="18"/>
      <c r="Y119" s="18"/>
      <c r="Z119" s="12"/>
      <c r="AA119" s="19">
        <v>18.649999999999878</v>
      </c>
      <c r="AB119" s="12"/>
      <c r="AC119" s="12"/>
      <c r="AD119" s="12">
        <v>11.465000000000103</v>
      </c>
      <c r="AE119" s="19">
        <f t="shared" si="53"/>
        <v>1.6266899258612917</v>
      </c>
    </row>
    <row r="120" spans="1:31" ht="17.399999999999999" x14ac:dyDescent="0.35">
      <c r="A120" s="86">
        <v>44880</v>
      </c>
      <c r="B120" s="10">
        <f t="shared" si="11"/>
        <v>181</v>
      </c>
      <c r="C120" s="12"/>
      <c r="D120" s="12"/>
      <c r="E120" s="12"/>
      <c r="F120" s="12"/>
      <c r="G120" s="12"/>
      <c r="H120" s="18"/>
      <c r="I120" s="18"/>
      <c r="J120" s="12"/>
      <c r="K120" s="19">
        <v>10.59999999999981</v>
      </c>
      <c r="L120" s="18"/>
      <c r="M120" s="18"/>
      <c r="N120" s="19">
        <v>7.0000000000000284</v>
      </c>
      <c r="O120" s="19">
        <f t="shared" si="51"/>
        <v>1.5142857142856809</v>
      </c>
      <c r="P120" s="12"/>
      <c r="Q120" s="12"/>
      <c r="R120" s="12"/>
      <c r="S120" s="12"/>
      <c r="T120" s="12"/>
      <c r="U120" s="12"/>
      <c r="V120" s="12"/>
      <c r="W120" s="12"/>
      <c r="X120" s="18"/>
      <c r="Y120" s="18"/>
      <c r="Z120" s="12"/>
      <c r="AA120" s="19">
        <v>29.050000000000153</v>
      </c>
      <c r="AB120" s="12"/>
      <c r="AC120" s="12"/>
      <c r="AD120" s="19">
        <v>17.22999999999999</v>
      </c>
      <c r="AE120" s="19">
        <f t="shared" si="53"/>
        <v>1.6860127684271717</v>
      </c>
    </row>
    <row r="121" spans="1:31" ht="17.399999999999999" x14ac:dyDescent="0.35">
      <c r="A121" s="86">
        <v>44886</v>
      </c>
      <c r="B121" s="10">
        <f t="shared" si="11"/>
        <v>187</v>
      </c>
      <c r="C121" s="12"/>
      <c r="D121" s="12"/>
      <c r="E121" s="12"/>
      <c r="F121" s="12"/>
      <c r="G121" s="12"/>
      <c r="H121" s="18"/>
      <c r="I121" s="18"/>
      <c r="J121" s="12"/>
      <c r="K121" s="19">
        <v>20.150000000001</v>
      </c>
      <c r="L121" s="18"/>
      <c r="M121" s="18"/>
      <c r="N121" s="19">
        <v>10.51499999999983</v>
      </c>
      <c r="O121" s="19">
        <f t="shared" si="51"/>
        <v>1.9163100332859084</v>
      </c>
      <c r="P121" s="12"/>
      <c r="Q121" s="12"/>
      <c r="R121" s="12"/>
      <c r="S121" s="12"/>
      <c r="T121" s="12"/>
      <c r="U121" s="12"/>
      <c r="V121" s="12"/>
      <c r="W121" s="12"/>
      <c r="X121" s="18"/>
      <c r="Y121" s="18"/>
      <c r="Z121" s="12"/>
      <c r="AA121" s="19">
        <v>27.449999999999974</v>
      </c>
      <c r="AB121" s="12"/>
      <c r="AC121" s="12"/>
      <c r="AD121" s="19">
        <v>16.639999999999944</v>
      </c>
      <c r="AE121" s="19">
        <f t="shared" si="53"/>
        <v>1.6496394230769271</v>
      </c>
    </row>
    <row r="122" spans="1:31" ht="17.399999999999999" x14ac:dyDescent="0.35">
      <c r="A122" s="86">
        <v>44889</v>
      </c>
      <c r="B122" s="10">
        <f t="shared" si="11"/>
        <v>190</v>
      </c>
      <c r="C122" s="12"/>
      <c r="D122" s="12"/>
      <c r="E122" s="12"/>
      <c r="F122" s="12"/>
      <c r="G122" s="12"/>
      <c r="H122" s="18"/>
      <c r="I122" s="18"/>
      <c r="J122" s="12"/>
      <c r="L122" s="18"/>
      <c r="M122" s="18"/>
      <c r="O122" s="19"/>
      <c r="P122" s="12"/>
      <c r="Q122" s="12"/>
      <c r="R122" s="12"/>
      <c r="S122" s="12"/>
      <c r="T122" s="12"/>
      <c r="U122" s="12"/>
      <c r="V122" s="12"/>
      <c r="W122" s="12"/>
      <c r="X122" s="18"/>
      <c r="Y122" s="18"/>
      <c r="Z122" s="12"/>
      <c r="AA122" s="19"/>
      <c r="AB122" s="12"/>
      <c r="AC122" s="12"/>
      <c r="AD122" s="12"/>
      <c r="AE122" s="19"/>
    </row>
    <row r="123" spans="1:31" ht="17.399999999999999" x14ac:dyDescent="0.35">
      <c r="A123" s="86">
        <v>44894</v>
      </c>
      <c r="B123" s="10">
        <f t="shared" si="11"/>
        <v>195</v>
      </c>
      <c r="C123" s="12"/>
      <c r="D123" s="12"/>
      <c r="E123" s="12"/>
      <c r="F123" s="12"/>
      <c r="G123" s="12"/>
      <c r="H123" s="18"/>
      <c r="I123" s="18"/>
      <c r="J123" s="12"/>
      <c r="K123" s="19"/>
      <c r="L123" s="18"/>
      <c r="M123" s="18"/>
      <c r="N123" s="19"/>
      <c r="O123" s="19"/>
      <c r="P123" s="12"/>
      <c r="Q123" s="12"/>
      <c r="R123" s="12"/>
      <c r="S123" s="12"/>
      <c r="T123" s="12"/>
      <c r="U123" s="12"/>
      <c r="V123" s="12"/>
      <c r="W123" s="12"/>
      <c r="X123" s="18"/>
      <c r="Y123" s="18"/>
      <c r="Z123" s="12"/>
      <c r="AA123" s="19"/>
      <c r="AB123" s="12"/>
      <c r="AC123" s="12"/>
      <c r="AD123" s="12"/>
      <c r="AE123" s="19"/>
    </row>
    <row r="124" spans="1:31" ht="17.399999999999999" x14ac:dyDescent="0.35">
      <c r="A124" s="86">
        <v>44895</v>
      </c>
      <c r="B124" s="10">
        <f t="shared" si="11"/>
        <v>196</v>
      </c>
      <c r="C124" s="12"/>
      <c r="D124" s="12"/>
      <c r="E124" s="12"/>
      <c r="F124" s="12"/>
      <c r="G124" s="12"/>
      <c r="H124" s="18"/>
      <c r="I124" s="18"/>
      <c r="J124" s="12"/>
      <c r="K124" s="19"/>
      <c r="L124" s="18"/>
      <c r="M124" s="18"/>
      <c r="N124" s="19"/>
      <c r="O124" s="19"/>
      <c r="P124" s="12"/>
      <c r="Q124" s="12"/>
      <c r="R124" s="12"/>
      <c r="S124" s="12"/>
      <c r="T124" s="12"/>
      <c r="U124" s="12"/>
      <c r="V124" s="12"/>
      <c r="W124" s="12"/>
      <c r="X124" s="18"/>
      <c r="Y124" s="18"/>
      <c r="Z124" s="12"/>
      <c r="AA124" s="19"/>
      <c r="AB124" s="12"/>
      <c r="AC124" s="12"/>
      <c r="AD124" s="12"/>
      <c r="AE124" s="19"/>
    </row>
    <row r="125" spans="1:31" ht="17.399999999999999" x14ac:dyDescent="0.35">
      <c r="A125" s="86">
        <v>44896</v>
      </c>
      <c r="B125" s="10">
        <f t="shared" si="11"/>
        <v>197</v>
      </c>
      <c r="C125" s="12"/>
      <c r="D125" s="12"/>
      <c r="E125" s="12"/>
      <c r="F125" s="12"/>
      <c r="G125" s="12"/>
      <c r="H125" s="18"/>
      <c r="I125" s="18"/>
      <c r="J125" s="12"/>
      <c r="K125" s="19"/>
      <c r="L125" s="18"/>
      <c r="M125" s="18"/>
      <c r="N125" s="19"/>
      <c r="O125" s="19"/>
      <c r="P125" s="12"/>
      <c r="Q125" s="12"/>
      <c r="R125" s="12"/>
      <c r="S125" s="12"/>
      <c r="T125" s="12"/>
      <c r="U125" s="12"/>
      <c r="V125" s="12"/>
      <c r="W125" s="12"/>
      <c r="X125" s="18"/>
      <c r="Y125" s="18"/>
      <c r="Z125" s="12"/>
      <c r="AA125" s="19"/>
      <c r="AB125" s="12"/>
      <c r="AC125" s="12"/>
      <c r="AD125" s="12"/>
      <c r="AE125" s="19"/>
    </row>
    <row r="126" spans="1:31" ht="17.399999999999999" x14ac:dyDescent="0.35">
      <c r="A126" s="86">
        <v>44897</v>
      </c>
      <c r="B126" s="10">
        <f t="shared" si="11"/>
        <v>198</v>
      </c>
      <c r="C126" s="12"/>
      <c r="D126" s="12"/>
      <c r="E126" s="12"/>
      <c r="F126" s="12"/>
      <c r="G126" s="12"/>
      <c r="H126" s="18"/>
      <c r="I126" s="18"/>
      <c r="J126" s="12"/>
      <c r="K126" s="19"/>
      <c r="L126" s="18"/>
      <c r="M126" s="18"/>
      <c r="N126" s="19"/>
      <c r="O126" s="19"/>
      <c r="P126" s="12"/>
      <c r="Q126" s="12"/>
      <c r="R126" s="12"/>
      <c r="S126" s="12"/>
      <c r="T126" s="12"/>
      <c r="U126" s="12"/>
      <c r="V126" s="12"/>
      <c r="W126" s="12"/>
      <c r="X126" s="18"/>
      <c r="Y126" s="18"/>
      <c r="Z126" s="12"/>
      <c r="AA126" s="19"/>
      <c r="AB126" s="12"/>
      <c r="AC126" s="12"/>
      <c r="AD126" s="12"/>
      <c r="AE126" s="19"/>
    </row>
    <row r="127" spans="1:31" ht="17.399999999999999" x14ac:dyDescent="0.35">
      <c r="A127" s="86">
        <v>44898</v>
      </c>
      <c r="B127" s="10">
        <f t="shared" si="11"/>
        <v>199</v>
      </c>
      <c r="C127" s="12"/>
      <c r="D127" s="12"/>
      <c r="E127" s="12"/>
      <c r="F127" s="12"/>
      <c r="G127" s="12"/>
      <c r="H127" s="18"/>
      <c r="I127" s="18"/>
      <c r="J127" s="12"/>
      <c r="K127" s="19"/>
      <c r="L127" s="18"/>
      <c r="M127" s="18"/>
      <c r="N127" s="19"/>
      <c r="O127" s="19"/>
      <c r="P127" s="12"/>
      <c r="Q127" s="12"/>
      <c r="R127" s="12"/>
      <c r="S127" s="12"/>
      <c r="T127" s="12"/>
      <c r="U127" s="12"/>
      <c r="V127" s="12"/>
      <c r="W127" s="12"/>
      <c r="X127" s="18"/>
      <c r="Y127" s="18"/>
      <c r="Z127" s="12"/>
      <c r="AA127" s="19"/>
      <c r="AB127" s="12"/>
      <c r="AC127" s="12"/>
      <c r="AD127" s="12"/>
      <c r="AE127" s="19"/>
    </row>
    <row r="128" spans="1:31" ht="17.399999999999999" x14ac:dyDescent="0.35">
      <c r="A128" s="86">
        <v>44899</v>
      </c>
      <c r="B128" s="10">
        <f t="shared" ref="B128:B130" si="55">A128-A127+B127</f>
        <v>200</v>
      </c>
      <c r="C128" s="12"/>
      <c r="D128" s="12"/>
      <c r="E128" s="12"/>
      <c r="F128" s="12"/>
      <c r="G128" s="12"/>
      <c r="H128" s="18"/>
      <c r="I128" s="18"/>
      <c r="J128" s="12"/>
      <c r="K128" s="19"/>
      <c r="L128" s="18"/>
      <c r="M128" s="18"/>
      <c r="N128" s="19"/>
      <c r="O128" s="19"/>
      <c r="P128" s="12"/>
      <c r="Q128" s="12"/>
      <c r="R128" s="12"/>
      <c r="S128" s="12"/>
      <c r="T128" s="12"/>
      <c r="U128" s="12"/>
      <c r="V128" s="12"/>
      <c r="W128" s="12"/>
      <c r="X128" s="18"/>
      <c r="Y128" s="18"/>
      <c r="Z128" s="12"/>
      <c r="AA128" s="19"/>
      <c r="AB128" s="12"/>
      <c r="AC128" s="12"/>
      <c r="AD128" s="12"/>
      <c r="AE128" s="19"/>
    </row>
    <row r="129" spans="1:31" ht="17.399999999999999" x14ac:dyDescent="0.35">
      <c r="A129" s="86">
        <v>44900</v>
      </c>
      <c r="B129" s="10">
        <f t="shared" si="55"/>
        <v>201</v>
      </c>
      <c r="C129" s="12"/>
      <c r="D129" s="12"/>
      <c r="E129" s="12"/>
      <c r="F129" s="12"/>
      <c r="G129" s="12"/>
      <c r="H129" s="18"/>
      <c r="I129" s="18"/>
      <c r="J129" s="12"/>
      <c r="K129" s="19"/>
      <c r="L129" s="18"/>
      <c r="M129" s="18"/>
      <c r="N129" s="19"/>
      <c r="O129" s="19"/>
      <c r="P129" s="12"/>
      <c r="Q129" s="12"/>
      <c r="R129" s="12"/>
      <c r="S129" s="12"/>
      <c r="T129" s="12"/>
      <c r="U129" s="12"/>
      <c r="V129" s="12"/>
      <c r="W129" s="12"/>
      <c r="X129" s="18"/>
      <c r="Y129" s="18"/>
      <c r="Z129" s="12"/>
      <c r="AA129" s="19"/>
      <c r="AB129" s="12"/>
      <c r="AC129" s="12"/>
      <c r="AD129" s="12"/>
      <c r="AE129" s="19"/>
    </row>
    <row r="130" spans="1:31" ht="17.399999999999999" x14ac:dyDescent="0.35">
      <c r="A130" s="86">
        <v>44901</v>
      </c>
      <c r="B130" s="10">
        <f t="shared" si="55"/>
        <v>202</v>
      </c>
      <c r="C130" s="12"/>
      <c r="D130" s="12"/>
      <c r="E130" s="12"/>
      <c r="F130" s="12"/>
      <c r="G130" s="12"/>
      <c r="H130" s="18"/>
      <c r="I130" s="18"/>
      <c r="J130" s="12"/>
      <c r="K130" s="19"/>
      <c r="L130" s="18"/>
      <c r="M130" s="18"/>
      <c r="N130" s="19"/>
      <c r="O130" s="19"/>
      <c r="P130" s="12"/>
      <c r="Q130" s="12"/>
      <c r="R130" s="12"/>
      <c r="S130" s="12"/>
      <c r="T130" s="12"/>
      <c r="U130" s="12"/>
      <c r="V130" s="12"/>
      <c r="W130" s="12"/>
      <c r="X130" s="18"/>
      <c r="Y130" s="18"/>
      <c r="Z130" s="12"/>
      <c r="AA130" s="19"/>
      <c r="AB130" s="12"/>
      <c r="AC130" s="12"/>
      <c r="AD130" s="12"/>
      <c r="AE130" s="19"/>
    </row>
    <row r="131" spans="1:31" ht="17.399999999999999" x14ac:dyDescent="0.35">
      <c r="A131" s="46"/>
      <c r="B131" s="47"/>
      <c r="H131" s="48"/>
      <c r="I131" s="48"/>
      <c r="K131" s="49"/>
      <c r="L131" s="48"/>
      <c r="M131" s="48"/>
      <c r="N131" s="49"/>
      <c r="O131" s="49"/>
      <c r="X131" s="48"/>
      <c r="Y131" s="48"/>
      <c r="AA131" s="49"/>
      <c r="AE131" s="49"/>
    </row>
    <row r="132" spans="1:31" ht="17.399999999999999" x14ac:dyDescent="0.35">
      <c r="A132" s="46"/>
      <c r="B132" s="47"/>
      <c r="H132" s="48"/>
      <c r="I132" s="48"/>
      <c r="K132" s="49"/>
      <c r="L132" s="48"/>
      <c r="M132" s="48"/>
      <c r="N132" s="49"/>
      <c r="O132" s="49"/>
      <c r="X132" s="48"/>
      <c r="Y132" s="48"/>
      <c r="AA132" s="49"/>
      <c r="AE132" s="49"/>
    </row>
    <row r="133" spans="1:31" ht="17.399999999999999" x14ac:dyDescent="0.35">
      <c r="A133" s="46"/>
      <c r="B133" s="47"/>
      <c r="H133" s="48"/>
      <c r="I133" s="48"/>
      <c r="K133" s="49"/>
      <c r="L133" s="48"/>
      <c r="M133" s="48"/>
      <c r="N133" s="49"/>
      <c r="O133" s="49"/>
      <c r="X133" s="48"/>
      <c r="Y133" s="48"/>
      <c r="AA133" s="49"/>
      <c r="AE133" s="49"/>
    </row>
    <row r="134" spans="1:31" ht="17.399999999999999" x14ac:dyDescent="0.35">
      <c r="A134" s="46"/>
      <c r="B134" s="47"/>
      <c r="H134" s="48"/>
      <c r="I134" s="48"/>
      <c r="K134" s="49"/>
      <c r="L134" s="48"/>
      <c r="M134" s="48"/>
      <c r="N134" s="49"/>
      <c r="O134" s="49"/>
      <c r="X134" s="48"/>
      <c r="Y134" s="48"/>
      <c r="AA134" s="49"/>
      <c r="AE134" s="49"/>
    </row>
    <row r="135" spans="1:31" ht="17.399999999999999" x14ac:dyDescent="0.35">
      <c r="A135" s="46"/>
      <c r="B135" s="47"/>
      <c r="H135" s="48"/>
      <c r="I135" s="48"/>
      <c r="K135" s="49"/>
      <c r="L135" s="48"/>
      <c r="M135" s="48"/>
      <c r="N135" s="49"/>
      <c r="O135" s="49"/>
      <c r="X135" s="48"/>
      <c r="Y135" s="48"/>
      <c r="AA135" s="49"/>
      <c r="AE135" s="49"/>
    </row>
    <row r="136" spans="1:31" ht="17.399999999999999" x14ac:dyDescent="0.35">
      <c r="A136" s="46"/>
      <c r="B136" s="47"/>
      <c r="H136" s="48"/>
      <c r="I136" s="48"/>
      <c r="K136" s="49"/>
      <c r="L136" s="48"/>
      <c r="M136" s="48"/>
      <c r="N136" s="49"/>
      <c r="O136" s="49"/>
      <c r="X136" s="48"/>
      <c r="Y136" s="48"/>
      <c r="AA136" s="49"/>
      <c r="AE136" s="49"/>
    </row>
    <row r="137" spans="1:31" ht="17.399999999999999" x14ac:dyDescent="0.35">
      <c r="A137" s="46"/>
      <c r="B137" s="47"/>
      <c r="H137" s="48"/>
      <c r="I137" s="48"/>
      <c r="K137" s="49"/>
      <c r="L137" s="48"/>
      <c r="M137" s="48"/>
      <c r="N137" s="49"/>
      <c r="O137" s="49"/>
      <c r="X137" s="48"/>
      <c r="Y137" s="48"/>
      <c r="AA137" s="49"/>
      <c r="AE137" s="49"/>
    </row>
    <row r="138" spans="1:31" ht="17.399999999999999" x14ac:dyDescent="0.35">
      <c r="A138" s="46"/>
      <c r="B138" s="47"/>
      <c r="H138" s="48"/>
      <c r="I138" s="48"/>
      <c r="K138" s="49"/>
      <c r="L138" s="48"/>
      <c r="M138" s="48"/>
      <c r="N138" s="49"/>
      <c r="O138" s="49"/>
      <c r="X138" s="48"/>
      <c r="Y138" s="48"/>
      <c r="AA138" s="49"/>
      <c r="AE138" s="49"/>
    </row>
    <row r="139" spans="1:31" ht="17.399999999999999" x14ac:dyDescent="0.35">
      <c r="A139" s="46"/>
      <c r="B139" s="47"/>
      <c r="H139" s="48"/>
      <c r="I139" s="48"/>
      <c r="K139" s="49"/>
      <c r="L139" s="48"/>
      <c r="M139" s="48"/>
      <c r="N139" s="49"/>
      <c r="O139" s="49"/>
      <c r="X139" s="48"/>
      <c r="Y139" s="48"/>
      <c r="AA139" s="49"/>
      <c r="AE139" s="49"/>
    </row>
    <row r="140" spans="1:31" ht="17.399999999999999" x14ac:dyDescent="0.35">
      <c r="A140" s="46"/>
      <c r="B140" s="47"/>
      <c r="H140" s="48"/>
      <c r="I140" s="48"/>
      <c r="K140" s="49"/>
      <c r="L140" s="48"/>
      <c r="M140" s="48"/>
      <c r="N140" s="49"/>
      <c r="O140" s="49"/>
      <c r="X140" s="48"/>
      <c r="Y140" s="48"/>
      <c r="AA140" s="49"/>
      <c r="AE140" s="49"/>
    </row>
    <row r="141" spans="1:31" ht="17.399999999999999" x14ac:dyDescent="0.35">
      <c r="A141" s="46"/>
      <c r="B141" s="47"/>
      <c r="H141" s="48"/>
      <c r="I141" s="48"/>
      <c r="K141" s="49"/>
      <c r="L141" s="48"/>
      <c r="M141" s="48"/>
      <c r="N141" s="49"/>
      <c r="O141" s="49"/>
      <c r="X141" s="48"/>
      <c r="Y141" s="48"/>
      <c r="AA141" s="49"/>
      <c r="AE141" s="49"/>
    </row>
    <row r="142" spans="1:31" ht="17.399999999999999" x14ac:dyDescent="0.35">
      <c r="A142" s="46"/>
      <c r="B142" s="47"/>
      <c r="H142" s="48"/>
      <c r="I142" s="48"/>
      <c r="K142" s="49"/>
      <c r="L142" s="48"/>
      <c r="M142" s="48"/>
      <c r="N142" s="49"/>
      <c r="O142" s="49"/>
      <c r="X142" s="48"/>
      <c r="Y142" s="48"/>
      <c r="AA142" s="49"/>
      <c r="AE142" s="49"/>
    </row>
    <row r="143" spans="1:31" ht="17.399999999999999" x14ac:dyDescent="0.35">
      <c r="A143" s="46"/>
      <c r="B143" s="47"/>
      <c r="H143" s="48"/>
      <c r="I143" s="48"/>
      <c r="K143" s="49"/>
      <c r="L143" s="48"/>
      <c r="M143" s="48"/>
      <c r="N143" s="49"/>
      <c r="O143" s="49"/>
      <c r="X143" s="48"/>
      <c r="Y143" s="48"/>
      <c r="AA143" s="49"/>
      <c r="AE143" s="49"/>
    </row>
    <row r="144" spans="1:31" ht="17.399999999999999" x14ac:dyDescent="0.35">
      <c r="A144" s="46"/>
      <c r="B144" s="47"/>
      <c r="H144" s="48"/>
      <c r="I144" s="48"/>
      <c r="K144" s="49"/>
      <c r="L144" s="48"/>
      <c r="M144" s="48"/>
      <c r="N144" s="49"/>
      <c r="O144" s="49"/>
      <c r="X144" s="48"/>
      <c r="Y144" s="48"/>
      <c r="AA144" s="49"/>
      <c r="AE144" s="49"/>
    </row>
    <row r="145" spans="1:31" ht="17.399999999999999" x14ac:dyDescent="0.35">
      <c r="A145" s="46"/>
      <c r="B145" s="47"/>
      <c r="H145" s="48"/>
      <c r="I145" s="48"/>
      <c r="K145" s="49"/>
      <c r="L145" s="48"/>
      <c r="M145" s="48"/>
      <c r="N145" s="49"/>
      <c r="O145" s="49"/>
      <c r="X145" s="48"/>
      <c r="Y145" s="48"/>
      <c r="AA145" s="49"/>
      <c r="AE145" s="49"/>
    </row>
    <row r="146" spans="1:31" ht="17.399999999999999" x14ac:dyDescent="0.35">
      <c r="A146" s="46"/>
      <c r="B146" s="47"/>
      <c r="H146" s="48"/>
      <c r="I146" s="48"/>
      <c r="K146" s="49"/>
      <c r="L146" s="48"/>
      <c r="M146" s="48"/>
      <c r="N146" s="49"/>
      <c r="O146" s="49"/>
      <c r="X146" s="48"/>
      <c r="Y146" s="48"/>
      <c r="AA146" s="49"/>
      <c r="AE146" s="49"/>
    </row>
    <row r="147" spans="1:31" ht="17.399999999999999" x14ac:dyDescent="0.35">
      <c r="A147" s="46"/>
      <c r="B147" s="47"/>
      <c r="H147" s="48"/>
      <c r="I147" s="48"/>
      <c r="K147" s="49"/>
      <c r="L147" s="48"/>
      <c r="M147" s="48"/>
      <c r="N147" s="49"/>
      <c r="O147" s="49"/>
      <c r="X147" s="48"/>
      <c r="Y147" s="48"/>
      <c r="AA147" s="49"/>
      <c r="AE147" s="49"/>
    </row>
    <row r="148" spans="1:31" ht="17.399999999999999" x14ac:dyDescent="0.35">
      <c r="A148" s="46"/>
      <c r="B148" s="47"/>
      <c r="H148" s="48"/>
      <c r="I148" s="48"/>
      <c r="K148" s="49"/>
      <c r="L148" s="48"/>
      <c r="M148" s="48"/>
      <c r="N148" s="49"/>
      <c r="O148" s="49"/>
      <c r="X148" s="48"/>
      <c r="Y148" s="48"/>
      <c r="AA148" s="49"/>
      <c r="AE148" s="49"/>
    </row>
    <row r="149" spans="1:31" ht="17.399999999999999" x14ac:dyDescent="0.35">
      <c r="A149" s="46"/>
      <c r="B149" s="47"/>
      <c r="H149" s="48"/>
      <c r="I149" s="48"/>
      <c r="K149" s="49"/>
      <c r="L149" s="48"/>
      <c r="M149" s="48"/>
      <c r="N149" s="49"/>
      <c r="O149" s="49"/>
      <c r="X149" s="48"/>
      <c r="Y149" s="48"/>
      <c r="AA149" s="49"/>
      <c r="AE149" s="49"/>
    </row>
    <row r="150" spans="1:31" ht="17.399999999999999" x14ac:dyDescent="0.35">
      <c r="A150" s="46"/>
      <c r="B150" s="47"/>
      <c r="H150" s="48"/>
      <c r="I150" s="48"/>
      <c r="K150" s="49"/>
      <c r="L150" s="48"/>
      <c r="M150" s="48"/>
      <c r="N150" s="49"/>
      <c r="O150" s="49"/>
      <c r="X150" s="48"/>
      <c r="Y150" s="48"/>
      <c r="AA150" s="49"/>
      <c r="AE150" s="49"/>
    </row>
    <row r="151" spans="1:31" ht="17.399999999999999" x14ac:dyDescent="0.35">
      <c r="A151" s="46"/>
      <c r="B151" s="47"/>
      <c r="H151" s="48"/>
      <c r="I151" s="48"/>
      <c r="K151" s="49"/>
      <c r="L151" s="48"/>
      <c r="M151" s="48"/>
      <c r="N151" s="49"/>
      <c r="O151" s="49"/>
      <c r="X151" s="48"/>
      <c r="Y151" s="48"/>
      <c r="AA151" s="49"/>
      <c r="AE151" s="49"/>
    </row>
    <row r="152" spans="1:31" ht="17.399999999999999" x14ac:dyDescent="0.35">
      <c r="A152" s="46"/>
      <c r="B152" s="47"/>
      <c r="H152" s="48"/>
      <c r="I152" s="48"/>
      <c r="K152" s="49"/>
      <c r="L152" s="48"/>
      <c r="M152" s="48"/>
      <c r="N152" s="49"/>
      <c r="O152" s="49"/>
      <c r="X152" s="48"/>
      <c r="Y152" s="48"/>
      <c r="AA152" s="49"/>
      <c r="AE152" s="49"/>
    </row>
    <row r="153" spans="1:31" ht="17.399999999999999" x14ac:dyDescent="0.35">
      <c r="A153" s="46"/>
      <c r="B153" s="47"/>
      <c r="H153" s="48"/>
      <c r="I153" s="48"/>
      <c r="K153" s="49"/>
      <c r="L153" s="48"/>
      <c r="M153" s="48"/>
      <c r="N153" s="49"/>
      <c r="O153" s="49"/>
      <c r="X153" s="48"/>
      <c r="Y153" s="48"/>
      <c r="AA153" s="49"/>
      <c r="AE153" s="49"/>
    </row>
    <row r="154" spans="1:31" ht="17.399999999999999" x14ac:dyDescent="0.35">
      <c r="A154" s="46"/>
      <c r="B154" s="47"/>
      <c r="H154" s="48"/>
      <c r="I154" s="48"/>
      <c r="K154" s="49"/>
      <c r="L154" s="48"/>
      <c r="M154" s="48"/>
      <c r="N154" s="49"/>
      <c r="O154" s="49"/>
      <c r="X154" s="48"/>
      <c r="Y154" s="48"/>
      <c r="AA154" s="49"/>
      <c r="AE154" s="49"/>
    </row>
    <row r="155" spans="1:31" ht="17.399999999999999" x14ac:dyDescent="0.35">
      <c r="A155" s="46"/>
      <c r="B155" s="47"/>
      <c r="H155" s="48"/>
      <c r="I155" s="48"/>
      <c r="L155" s="48"/>
      <c r="M155" s="48"/>
      <c r="N155" s="49"/>
      <c r="X155" s="48"/>
      <c r="Y155" s="48"/>
      <c r="AA155" s="49"/>
      <c r="AE155" s="49"/>
    </row>
    <row r="156" spans="1:31" ht="17.399999999999999" x14ac:dyDescent="0.35">
      <c r="A156" s="46"/>
      <c r="B156" s="47"/>
      <c r="H156" s="48"/>
      <c r="I156" s="48"/>
      <c r="L156" s="48"/>
      <c r="M156" s="48"/>
      <c r="N156" s="49"/>
      <c r="X156" s="48"/>
      <c r="Y156" s="48"/>
      <c r="AA156" s="49"/>
      <c r="AE156" s="49"/>
    </row>
    <row r="180" spans="14:41" ht="21" x14ac:dyDescent="0.4">
      <c r="N180" s="207" t="s">
        <v>59</v>
      </c>
      <c r="O180" s="207"/>
      <c r="P180" s="207"/>
      <c r="Q180" s="207"/>
      <c r="R180" s="207"/>
      <c r="S180" s="207"/>
      <c r="T180" s="207"/>
      <c r="U180" s="207"/>
      <c r="V180" s="207"/>
      <c r="W180" s="207"/>
      <c r="X180" s="207"/>
      <c r="Y180" s="207"/>
      <c r="Z180" s="207"/>
      <c r="AC180" s="207" t="s">
        <v>60</v>
      </c>
      <c r="AD180" s="207"/>
      <c r="AE180" s="207"/>
      <c r="AF180" s="207"/>
      <c r="AG180" s="207"/>
      <c r="AH180" s="207"/>
      <c r="AI180" s="207"/>
      <c r="AJ180" s="50"/>
      <c r="AK180" s="50"/>
      <c r="AL180" s="50"/>
      <c r="AM180" s="50"/>
      <c r="AN180" s="50"/>
      <c r="AO180" s="50"/>
    </row>
  </sheetData>
  <mergeCells count="6">
    <mergeCell ref="H1:O1"/>
    <mergeCell ref="C1:G1"/>
    <mergeCell ref="P1:W1"/>
    <mergeCell ref="X1:AE1"/>
    <mergeCell ref="N180:Z180"/>
    <mergeCell ref="AC180:AI18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F6EF-53B9-426C-84D4-38008C3FB802}">
  <dimension ref="A1:N183"/>
  <sheetViews>
    <sheetView topLeftCell="B1" zoomScale="70" zoomScaleNormal="70" workbookViewId="0">
      <pane ySplit="1" topLeftCell="A162" activePane="bottomLeft" state="frozen"/>
      <selection pane="bottomLeft" activeCell="A178" sqref="A178:XFD183"/>
    </sheetView>
  </sheetViews>
  <sheetFormatPr defaultColWidth="8.88671875" defaultRowHeight="15.6" x14ac:dyDescent="0.3"/>
  <cols>
    <col min="1" max="1" width="14.88671875" style="80" bestFit="1" customWidth="1"/>
    <col min="2" max="2" width="9" style="80" bestFit="1" customWidth="1"/>
    <col min="3" max="3" width="8.44140625" style="146" bestFit="1" customWidth="1"/>
    <col min="4" max="4" width="18.5546875" style="146" bestFit="1" customWidth="1"/>
    <col min="5" max="5" width="9.88671875" style="146" bestFit="1" customWidth="1"/>
    <col min="6" max="6" width="16.6640625" style="146" bestFit="1" customWidth="1"/>
    <col min="7" max="7" width="19.44140625" style="147" bestFit="1" customWidth="1"/>
    <col min="8" max="8" width="6.44140625" style="147" bestFit="1" customWidth="1"/>
    <col min="9" max="9" width="11" style="147" bestFit="1" customWidth="1"/>
    <col min="10" max="10" width="8.33203125" style="147" bestFit="1" customWidth="1"/>
    <col min="11" max="11" width="10.44140625" style="147" bestFit="1" customWidth="1"/>
    <col min="12" max="12" width="8.6640625" style="147" bestFit="1" customWidth="1"/>
    <col min="13" max="13" width="10" style="147" bestFit="1" customWidth="1"/>
    <col min="15" max="16384" width="8.88671875" style="80"/>
  </cols>
  <sheetData>
    <row r="1" spans="1:13" s="54" customFormat="1" x14ac:dyDescent="0.3">
      <c r="A1" s="60"/>
      <c r="B1" s="60"/>
      <c r="C1" s="142" t="s">
        <v>62</v>
      </c>
      <c r="D1" s="142" t="s">
        <v>63</v>
      </c>
      <c r="E1" s="142" t="s">
        <v>64</v>
      </c>
      <c r="F1" s="142" t="s">
        <v>65</v>
      </c>
      <c r="G1" s="143" t="s">
        <v>66</v>
      </c>
      <c r="H1" s="143" t="s">
        <v>67</v>
      </c>
      <c r="I1" s="143" t="s">
        <v>68</v>
      </c>
      <c r="J1" s="143" t="s">
        <v>69</v>
      </c>
      <c r="K1" s="143" t="s">
        <v>70</v>
      </c>
      <c r="L1" s="143" t="s">
        <v>71</v>
      </c>
      <c r="M1" s="143" t="s">
        <v>72</v>
      </c>
    </row>
    <row r="2" spans="1:13" x14ac:dyDescent="0.3">
      <c r="A2" s="86">
        <v>44663</v>
      </c>
      <c r="B2" s="66"/>
      <c r="C2" s="144">
        <v>4.4000000000000004</v>
      </c>
      <c r="D2" s="144">
        <v>0.78</v>
      </c>
      <c r="E2" s="144">
        <v>0.15</v>
      </c>
      <c r="F2" s="144">
        <v>94.66</v>
      </c>
      <c r="G2" s="145"/>
      <c r="H2" s="145"/>
      <c r="I2" s="145"/>
      <c r="J2" s="145"/>
      <c r="K2" s="145">
        <v>69.8</v>
      </c>
      <c r="L2" s="145">
        <v>1.46</v>
      </c>
      <c r="M2" s="145">
        <v>28.73</v>
      </c>
    </row>
    <row r="3" spans="1:13" x14ac:dyDescent="0.3">
      <c r="A3" s="86">
        <v>44664</v>
      </c>
      <c r="B3" s="66"/>
      <c r="C3" s="144">
        <v>4.4000000000000004</v>
      </c>
      <c r="D3" s="144">
        <v>0.78</v>
      </c>
      <c r="E3" s="144">
        <v>0.15</v>
      </c>
      <c r="F3" s="144">
        <v>94.66</v>
      </c>
      <c r="G3" s="145"/>
      <c r="H3" s="145"/>
      <c r="I3" s="145"/>
      <c r="J3" s="145"/>
      <c r="K3" s="145">
        <v>69.8</v>
      </c>
      <c r="L3" s="145">
        <v>1.46</v>
      </c>
      <c r="M3" s="145">
        <v>28.73</v>
      </c>
    </row>
    <row r="4" spans="1:13" x14ac:dyDescent="0.3">
      <c r="A4" s="86">
        <v>44665</v>
      </c>
      <c r="B4" s="66"/>
      <c r="C4" s="144">
        <v>4.4000000000000004</v>
      </c>
      <c r="D4" s="144">
        <v>0.78</v>
      </c>
      <c r="E4" s="144">
        <v>0.15</v>
      </c>
      <c r="F4" s="144">
        <v>94.66</v>
      </c>
      <c r="G4" s="145"/>
      <c r="H4" s="145"/>
      <c r="I4" s="145"/>
      <c r="J4" s="145"/>
      <c r="K4" s="145">
        <v>69.8</v>
      </c>
      <c r="L4" s="145">
        <v>1.46</v>
      </c>
      <c r="M4" s="145">
        <v>28.73</v>
      </c>
    </row>
    <row r="5" spans="1:13" x14ac:dyDescent="0.3">
      <c r="A5" s="86">
        <v>44666</v>
      </c>
      <c r="B5" s="66"/>
      <c r="C5" s="144">
        <v>4.4000000000000004</v>
      </c>
      <c r="D5" s="144">
        <v>0.78</v>
      </c>
      <c r="E5" s="144">
        <v>0.15</v>
      </c>
      <c r="F5" s="144">
        <v>94.66</v>
      </c>
      <c r="G5" s="145"/>
      <c r="H5" s="145"/>
      <c r="I5" s="145"/>
      <c r="J5" s="145"/>
      <c r="K5" s="145">
        <v>69.8</v>
      </c>
      <c r="L5" s="145">
        <v>1.46</v>
      </c>
      <c r="M5" s="145">
        <v>28.73</v>
      </c>
    </row>
    <row r="6" spans="1:13" x14ac:dyDescent="0.3">
      <c r="A6" s="86">
        <v>44667</v>
      </c>
      <c r="B6" s="66"/>
      <c r="C6" s="144">
        <v>4.4000000000000004</v>
      </c>
      <c r="D6" s="144">
        <v>0.78</v>
      </c>
      <c r="E6" s="144">
        <v>0.15</v>
      </c>
      <c r="F6" s="144">
        <v>94.66</v>
      </c>
      <c r="G6" s="145"/>
      <c r="H6" s="145"/>
      <c r="I6" s="145"/>
      <c r="J6" s="145"/>
      <c r="K6" s="145">
        <v>69.8</v>
      </c>
      <c r="L6" s="145">
        <v>1.46</v>
      </c>
      <c r="M6" s="145">
        <v>28.73</v>
      </c>
    </row>
    <row r="7" spans="1:13" x14ac:dyDescent="0.3">
      <c r="A7" s="86">
        <v>44668</v>
      </c>
      <c r="B7" s="66"/>
      <c r="C7" s="144">
        <v>4.4000000000000004</v>
      </c>
      <c r="D7" s="144">
        <v>0.78</v>
      </c>
      <c r="E7" s="144">
        <v>0.15</v>
      </c>
      <c r="F7" s="144">
        <v>94.66</v>
      </c>
      <c r="G7" s="145"/>
      <c r="H7" s="145"/>
      <c r="I7" s="145"/>
      <c r="J7" s="145"/>
      <c r="K7" s="145">
        <v>69.8</v>
      </c>
      <c r="L7" s="145">
        <v>1.46</v>
      </c>
      <c r="M7" s="145">
        <v>28.73</v>
      </c>
    </row>
    <row r="8" spans="1:13" x14ac:dyDescent="0.3">
      <c r="A8" s="86">
        <v>44669</v>
      </c>
      <c r="B8" s="66"/>
      <c r="C8" s="144">
        <v>4.4000000000000004</v>
      </c>
      <c r="D8" s="144">
        <v>0.78</v>
      </c>
      <c r="E8" s="144">
        <v>0.15</v>
      </c>
      <c r="F8" s="144">
        <v>94.66</v>
      </c>
      <c r="G8" s="145"/>
      <c r="H8" s="145"/>
      <c r="I8" s="145"/>
      <c r="J8" s="145"/>
      <c r="K8" s="145">
        <v>69.8</v>
      </c>
      <c r="L8" s="145">
        <v>1.46</v>
      </c>
      <c r="M8" s="145">
        <v>28.73</v>
      </c>
    </row>
    <row r="9" spans="1:13" x14ac:dyDescent="0.3">
      <c r="A9" s="86">
        <v>44670</v>
      </c>
      <c r="B9" s="66"/>
      <c r="C9" s="144">
        <v>4.4000000000000004</v>
      </c>
      <c r="D9" s="144">
        <v>0.78</v>
      </c>
      <c r="E9" s="144">
        <v>0.15</v>
      </c>
      <c r="F9" s="144">
        <v>94.66</v>
      </c>
      <c r="G9" s="145"/>
      <c r="H9" s="145"/>
      <c r="I9" s="145"/>
      <c r="J9" s="145"/>
      <c r="K9" s="145">
        <v>69.8</v>
      </c>
      <c r="L9" s="145">
        <v>1.46</v>
      </c>
      <c r="M9" s="145">
        <v>28.73</v>
      </c>
    </row>
    <row r="10" spans="1:13" x14ac:dyDescent="0.3">
      <c r="A10" s="86">
        <v>44671</v>
      </c>
      <c r="B10" s="66"/>
      <c r="C10" s="144">
        <v>4.4000000000000004</v>
      </c>
      <c r="D10" s="144">
        <v>0.78</v>
      </c>
      <c r="E10" s="144">
        <v>0.15</v>
      </c>
      <c r="F10" s="144">
        <v>94.66</v>
      </c>
      <c r="G10" s="145"/>
      <c r="H10" s="145"/>
      <c r="I10" s="145"/>
      <c r="J10" s="145"/>
      <c r="K10" s="145">
        <v>69.8</v>
      </c>
      <c r="L10" s="145">
        <v>1.46</v>
      </c>
      <c r="M10" s="145">
        <v>28.73</v>
      </c>
    </row>
    <row r="11" spans="1:13" x14ac:dyDescent="0.3">
      <c r="A11" s="86">
        <v>44672</v>
      </c>
      <c r="B11" s="66"/>
      <c r="C11" s="144">
        <v>4.4000000000000004</v>
      </c>
      <c r="D11" s="144">
        <v>0.78</v>
      </c>
      <c r="E11" s="144">
        <v>0.15</v>
      </c>
      <c r="F11" s="144">
        <v>94.66</v>
      </c>
      <c r="G11" s="145"/>
      <c r="H11" s="145"/>
      <c r="I11" s="145"/>
      <c r="J11" s="145"/>
      <c r="K11" s="145">
        <v>69.8</v>
      </c>
      <c r="L11" s="145">
        <v>1.46</v>
      </c>
      <c r="M11" s="145">
        <v>28.73</v>
      </c>
    </row>
    <row r="12" spans="1:13" x14ac:dyDescent="0.3">
      <c r="A12" s="86">
        <v>44673</v>
      </c>
      <c r="B12" s="66"/>
      <c r="C12" s="144">
        <v>4.4000000000000004</v>
      </c>
      <c r="D12" s="144">
        <v>0.78</v>
      </c>
      <c r="E12" s="144">
        <v>0.15</v>
      </c>
      <c r="F12" s="144">
        <v>94.66</v>
      </c>
      <c r="G12" s="145"/>
      <c r="H12" s="145"/>
      <c r="I12" s="145"/>
      <c r="J12" s="145"/>
      <c r="K12" s="145">
        <v>69.8</v>
      </c>
      <c r="L12" s="145">
        <v>1.46</v>
      </c>
      <c r="M12" s="145">
        <v>28.73</v>
      </c>
    </row>
    <row r="13" spans="1:13" x14ac:dyDescent="0.3">
      <c r="A13" s="86">
        <v>44674</v>
      </c>
      <c r="B13" s="66"/>
      <c r="C13" s="144">
        <v>4.4000000000000004</v>
      </c>
      <c r="D13" s="144">
        <v>0.78</v>
      </c>
      <c r="E13" s="144">
        <v>0.15</v>
      </c>
      <c r="F13" s="144">
        <v>94.66</v>
      </c>
      <c r="G13" s="145"/>
      <c r="H13" s="145"/>
      <c r="I13" s="145"/>
      <c r="J13" s="145"/>
      <c r="K13" s="145">
        <v>69.8</v>
      </c>
      <c r="L13" s="145">
        <v>1.46</v>
      </c>
      <c r="M13" s="145">
        <v>28.73</v>
      </c>
    </row>
    <row r="14" spans="1:13" x14ac:dyDescent="0.3">
      <c r="A14" s="86">
        <v>44675</v>
      </c>
      <c r="B14" s="66"/>
      <c r="C14" s="144">
        <v>4.4000000000000004</v>
      </c>
      <c r="D14" s="144">
        <v>0.78</v>
      </c>
      <c r="E14" s="144">
        <v>0.15</v>
      </c>
      <c r="F14" s="144">
        <v>94.66</v>
      </c>
      <c r="G14" s="145"/>
      <c r="H14" s="145"/>
      <c r="I14" s="145"/>
      <c r="J14" s="145"/>
      <c r="K14" s="145">
        <v>69.8</v>
      </c>
      <c r="L14" s="145">
        <v>1.46</v>
      </c>
      <c r="M14" s="145">
        <v>28.73</v>
      </c>
    </row>
    <row r="15" spans="1:13" x14ac:dyDescent="0.3">
      <c r="A15" s="86">
        <v>44676</v>
      </c>
      <c r="B15" s="66"/>
      <c r="C15" s="144">
        <v>4.4000000000000004</v>
      </c>
      <c r="D15" s="144">
        <v>0.78</v>
      </c>
      <c r="E15" s="144">
        <v>0.15</v>
      </c>
      <c r="F15" s="144">
        <v>94.66</v>
      </c>
      <c r="G15" s="145"/>
      <c r="H15" s="145"/>
      <c r="I15" s="145"/>
      <c r="J15" s="145"/>
      <c r="K15" s="145">
        <v>69.8</v>
      </c>
      <c r="L15" s="145">
        <v>1.46</v>
      </c>
      <c r="M15" s="145">
        <v>28.73</v>
      </c>
    </row>
    <row r="16" spans="1:13" x14ac:dyDescent="0.3">
      <c r="A16" s="86">
        <v>44677</v>
      </c>
      <c r="B16" s="66"/>
      <c r="C16" s="144">
        <v>31.31</v>
      </c>
      <c r="D16" s="144">
        <v>1.03</v>
      </c>
      <c r="E16" s="144">
        <v>0.42</v>
      </c>
      <c r="F16" s="144">
        <v>67.239999999999995</v>
      </c>
      <c r="G16" s="145"/>
      <c r="H16" s="145"/>
      <c r="I16" s="145">
        <v>1.69</v>
      </c>
      <c r="J16" s="145"/>
      <c r="K16" s="145">
        <v>95.03</v>
      </c>
      <c r="L16" s="145">
        <v>0.19</v>
      </c>
      <c r="M16" s="145">
        <v>3.08</v>
      </c>
    </row>
    <row r="17" spans="1:13" x14ac:dyDescent="0.3">
      <c r="A17" s="86">
        <v>44678</v>
      </c>
      <c r="B17" s="66"/>
      <c r="C17" s="144">
        <v>31.31</v>
      </c>
      <c r="D17" s="144">
        <v>1.03</v>
      </c>
      <c r="E17" s="144">
        <v>0.42</v>
      </c>
      <c r="F17" s="144">
        <v>67.239999999999995</v>
      </c>
      <c r="G17" s="145"/>
      <c r="H17" s="145"/>
      <c r="I17" s="145">
        <v>1.69</v>
      </c>
      <c r="J17" s="145"/>
      <c r="K17" s="145">
        <v>95.03</v>
      </c>
      <c r="L17" s="145">
        <v>0.19</v>
      </c>
      <c r="M17" s="145">
        <v>3.08</v>
      </c>
    </row>
    <row r="18" spans="1:13" x14ac:dyDescent="0.3">
      <c r="A18" s="86">
        <v>44679</v>
      </c>
      <c r="B18" s="66"/>
      <c r="C18" s="144">
        <v>31.31</v>
      </c>
      <c r="D18" s="144">
        <v>1.03</v>
      </c>
      <c r="E18" s="144">
        <v>0.42</v>
      </c>
      <c r="F18" s="144">
        <v>67.239999999999995</v>
      </c>
      <c r="G18" s="145"/>
      <c r="H18" s="145"/>
      <c r="I18" s="145">
        <v>1.69</v>
      </c>
      <c r="J18" s="145"/>
      <c r="K18" s="145">
        <v>95.03</v>
      </c>
      <c r="L18" s="145">
        <v>0.19</v>
      </c>
      <c r="M18" s="145">
        <v>3.08</v>
      </c>
    </row>
    <row r="19" spans="1:13" x14ac:dyDescent="0.3">
      <c r="A19" s="86">
        <v>44680</v>
      </c>
      <c r="B19" s="66"/>
      <c r="C19" s="144">
        <v>36.26</v>
      </c>
      <c r="D19" s="144">
        <v>0.75</v>
      </c>
      <c r="E19" s="144">
        <v>0.1</v>
      </c>
      <c r="F19" s="144">
        <v>62.89</v>
      </c>
      <c r="G19" s="145"/>
      <c r="H19" s="145"/>
      <c r="I19" s="145">
        <v>0.17</v>
      </c>
      <c r="J19" s="145"/>
      <c r="K19" s="145">
        <v>98.32</v>
      </c>
      <c r="L19" s="145">
        <v>0.41</v>
      </c>
      <c r="M19" s="145">
        <v>1.1000000000000001</v>
      </c>
    </row>
    <row r="20" spans="1:13" x14ac:dyDescent="0.3">
      <c r="A20" s="86">
        <v>44681</v>
      </c>
      <c r="B20" s="66"/>
      <c r="C20" s="144">
        <v>36.26</v>
      </c>
      <c r="D20" s="144">
        <v>0.75</v>
      </c>
      <c r="E20" s="144">
        <v>0.1</v>
      </c>
      <c r="F20" s="144">
        <v>62.89</v>
      </c>
      <c r="G20" s="145"/>
      <c r="H20" s="145"/>
      <c r="I20" s="145">
        <v>0.17</v>
      </c>
      <c r="J20" s="145"/>
      <c r="K20" s="145">
        <v>98.32</v>
      </c>
      <c r="L20" s="145">
        <v>0.41</v>
      </c>
      <c r="M20" s="145">
        <v>1.1000000000000001</v>
      </c>
    </row>
    <row r="21" spans="1:13" x14ac:dyDescent="0.3">
      <c r="A21" s="86">
        <v>44682</v>
      </c>
      <c r="B21" s="66"/>
      <c r="C21" s="144">
        <v>36.26</v>
      </c>
      <c r="D21" s="144">
        <v>0.75</v>
      </c>
      <c r="E21" s="144">
        <v>0.1</v>
      </c>
      <c r="F21" s="144">
        <v>62.89</v>
      </c>
      <c r="G21" s="145"/>
      <c r="H21" s="145"/>
      <c r="I21" s="145">
        <v>0.17</v>
      </c>
      <c r="J21" s="145"/>
      <c r="K21" s="145">
        <v>98.32</v>
      </c>
      <c r="L21" s="145">
        <v>0.41</v>
      </c>
      <c r="M21" s="145">
        <v>1.1000000000000001</v>
      </c>
    </row>
    <row r="22" spans="1:13" x14ac:dyDescent="0.3">
      <c r="A22" s="86">
        <v>44683</v>
      </c>
      <c r="B22" s="66"/>
      <c r="C22" s="144">
        <v>36.26</v>
      </c>
      <c r="D22" s="144">
        <v>0.75</v>
      </c>
      <c r="E22" s="144">
        <v>0.1</v>
      </c>
      <c r="F22" s="144">
        <v>62.89</v>
      </c>
      <c r="G22" s="145"/>
      <c r="H22" s="145"/>
      <c r="I22" s="145">
        <v>0.17</v>
      </c>
      <c r="J22" s="145"/>
      <c r="K22" s="145">
        <v>98.32</v>
      </c>
      <c r="L22" s="145">
        <v>0.41</v>
      </c>
      <c r="M22" s="145">
        <v>1.1000000000000001</v>
      </c>
    </row>
    <row r="23" spans="1:13" x14ac:dyDescent="0.3">
      <c r="A23" s="86">
        <v>44684</v>
      </c>
      <c r="B23" s="66"/>
      <c r="C23" s="144">
        <v>36.26</v>
      </c>
      <c r="D23" s="144">
        <v>0.75</v>
      </c>
      <c r="E23" s="144">
        <v>0.1</v>
      </c>
      <c r="F23" s="144">
        <v>62.89</v>
      </c>
      <c r="G23" s="145"/>
      <c r="H23" s="145"/>
      <c r="I23" s="145">
        <v>0.17</v>
      </c>
      <c r="J23" s="145"/>
      <c r="K23" s="145">
        <v>98.32</v>
      </c>
      <c r="L23" s="145">
        <v>0.41</v>
      </c>
      <c r="M23" s="145">
        <v>1.1000000000000001</v>
      </c>
    </row>
    <row r="24" spans="1:13" x14ac:dyDescent="0.3">
      <c r="A24" s="86">
        <v>44685</v>
      </c>
      <c r="B24" s="66"/>
      <c r="C24" s="144">
        <v>36.26</v>
      </c>
      <c r="D24" s="144">
        <v>0.75</v>
      </c>
      <c r="E24" s="144">
        <v>0.1</v>
      </c>
      <c r="F24" s="144">
        <v>62.89</v>
      </c>
      <c r="G24" s="145"/>
      <c r="H24" s="145"/>
      <c r="I24" s="145">
        <v>0.17</v>
      </c>
      <c r="J24" s="145"/>
      <c r="K24" s="145">
        <v>98.32</v>
      </c>
      <c r="L24" s="145">
        <v>0.41</v>
      </c>
      <c r="M24" s="145">
        <v>1.1000000000000001</v>
      </c>
    </row>
    <row r="25" spans="1:13" x14ac:dyDescent="0.3">
      <c r="A25" s="86">
        <v>44686</v>
      </c>
      <c r="B25" s="66"/>
      <c r="C25" s="144"/>
      <c r="D25" s="144"/>
      <c r="E25" s="144"/>
      <c r="F25" s="144"/>
      <c r="G25" s="145"/>
      <c r="H25" s="145"/>
      <c r="I25" s="145"/>
      <c r="J25" s="145"/>
      <c r="K25" s="145"/>
      <c r="L25" s="145"/>
      <c r="M25" s="145"/>
    </row>
    <row r="26" spans="1:13" x14ac:dyDescent="0.3">
      <c r="A26" s="86">
        <v>44687</v>
      </c>
      <c r="B26" s="66"/>
      <c r="C26" s="144">
        <v>38.159999999999997</v>
      </c>
      <c r="D26" s="144">
        <v>0.35</v>
      </c>
      <c r="E26" s="144">
        <v>0.45</v>
      </c>
      <c r="F26" s="144">
        <v>61.04</v>
      </c>
      <c r="G26" s="145"/>
      <c r="H26" s="145"/>
      <c r="I26" s="145">
        <v>0.06</v>
      </c>
      <c r="J26" s="145"/>
      <c r="K26" s="145">
        <v>61.15</v>
      </c>
      <c r="L26" s="145">
        <v>9.58</v>
      </c>
      <c r="M26" s="145">
        <v>29.21</v>
      </c>
    </row>
    <row r="27" spans="1:13" x14ac:dyDescent="0.3">
      <c r="A27" s="86">
        <v>44688</v>
      </c>
      <c r="B27" s="66"/>
      <c r="C27" s="144">
        <v>38.159999999999997</v>
      </c>
      <c r="D27" s="144">
        <v>0.35</v>
      </c>
      <c r="E27" s="144">
        <v>0.45</v>
      </c>
      <c r="F27" s="144">
        <v>61.04</v>
      </c>
      <c r="G27" s="145"/>
      <c r="H27" s="145"/>
      <c r="I27" s="145">
        <v>0.06</v>
      </c>
      <c r="J27" s="145"/>
      <c r="K27" s="145">
        <v>61.15</v>
      </c>
      <c r="L27" s="145">
        <v>9.58</v>
      </c>
      <c r="M27" s="145">
        <v>29.21</v>
      </c>
    </row>
    <row r="28" spans="1:13" x14ac:dyDescent="0.3">
      <c r="A28" s="86">
        <v>44689</v>
      </c>
      <c r="B28" s="66"/>
      <c r="C28" s="144">
        <v>38.159999999999997</v>
      </c>
      <c r="D28" s="144">
        <v>0.35</v>
      </c>
      <c r="E28" s="144">
        <v>0.45</v>
      </c>
      <c r="F28" s="144">
        <v>61.04</v>
      </c>
      <c r="G28" s="145"/>
      <c r="H28" s="145"/>
      <c r="I28" s="145">
        <v>0.06</v>
      </c>
      <c r="J28" s="145"/>
      <c r="K28" s="145">
        <v>61.15</v>
      </c>
      <c r="L28" s="145">
        <v>9.58</v>
      </c>
      <c r="M28" s="145">
        <v>29.21</v>
      </c>
    </row>
    <row r="29" spans="1:13" x14ac:dyDescent="0.3">
      <c r="A29" s="86">
        <v>44690</v>
      </c>
      <c r="B29" s="66"/>
      <c r="C29" s="144">
        <v>38.159999999999997</v>
      </c>
      <c r="D29" s="144">
        <v>0.35</v>
      </c>
      <c r="E29" s="144">
        <v>0.45</v>
      </c>
      <c r="F29" s="144">
        <v>61.04</v>
      </c>
      <c r="G29" s="145"/>
      <c r="H29" s="145"/>
      <c r="I29" s="145">
        <v>0.06</v>
      </c>
      <c r="J29" s="145"/>
      <c r="K29" s="145">
        <v>61.15</v>
      </c>
      <c r="L29" s="145">
        <v>9.58</v>
      </c>
      <c r="M29" s="145">
        <v>29.21</v>
      </c>
    </row>
    <row r="30" spans="1:13" x14ac:dyDescent="0.3">
      <c r="A30" s="86">
        <v>44691</v>
      </c>
      <c r="B30" s="66"/>
      <c r="C30" s="144">
        <v>47.71</v>
      </c>
      <c r="D30" s="144">
        <v>0.28999999999999998</v>
      </c>
      <c r="E30" s="144">
        <v>0.44</v>
      </c>
      <c r="F30" s="144">
        <v>51.56</v>
      </c>
      <c r="G30" s="145"/>
      <c r="H30" s="145"/>
      <c r="I30" s="145">
        <v>0.12</v>
      </c>
      <c r="J30" s="145"/>
      <c r="K30" s="145">
        <v>89.15</v>
      </c>
      <c r="L30" s="145">
        <v>2.63</v>
      </c>
      <c r="M30" s="145">
        <v>8.1</v>
      </c>
    </row>
    <row r="31" spans="1:13" x14ac:dyDescent="0.3">
      <c r="A31" s="86">
        <v>44692</v>
      </c>
      <c r="B31" s="66"/>
      <c r="C31" s="144">
        <v>47.71</v>
      </c>
      <c r="D31" s="144">
        <v>0.28999999999999998</v>
      </c>
      <c r="E31" s="144">
        <v>0.44</v>
      </c>
      <c r="F31" s="144">
        <v>51.56</v>
      </c>
      <c r="G31" s="145"/>
      <c r="H31" s="145"/>
      <c r="I31" s="145">
        <v>0.12</v>
      </c>
      <c r="J31" s="145"/>
      <c r="K31" s="145">
        <v>89.15</v>
      </c>
      <c r="L31" s="145">
        <v>2.63</v>
      </c>
      <c r="M31" s="145">
        <v>8.1</v>
      </c>
    </row>
    <row r="32" spans="1:13" x14ac:dyDescent="0.3">
      <c r="A32" s="86">
        <v>44693</v>
      </c>
      <c r="B32" s="66"/>
      <c r="C32" s="144">
        <v>47.71</v>
      </c>
      <c r="D32" s="144">
        <v>0.28999999999999998</v>
      </c>
      <c r="E32" s="144">
        <v>0.44</v>
      </c>
      <c r="F32" s="144">
        <v>51.56</v>
      </c>
      <c r="G32" s="145"/>
      <c r="H32" s="145"/>
      <c r="I32" s="145">
        <v>0.12</v>
      </c>
      <c r="J32" s="145"/>
      <c r="K32" s="145">
        <v>89.15</v>
      </c>
      <c r="L32" s="145">
        <v>2.63</v>
      </c>
      <c r="M32" s="145">
        <v>8.1</v>
      </c>
    </row>
    <row r="33" spans="1:13" x14ac:dyDescent="0.3">
      <c r="A33" s="86">
        <v>44694</v>
      </c>
      <c r="B33" s="66"/>
      <c r="C33" s="144">
        <v>54.18</v>
      </c>
      <c r="D33" s="144">
        <v>0.25</v>
      </c>
      <c r="E33" s="144">
        <v>1.3</v>
      </c>
      <c r="F33" s="144">
        <v>44.28</v>
      </c>
      <c r="G33" s="145"/>
      <c r="H33" s="145"/>
      <c r="I33" s="145">
        <v>0.77</v>
      </c>
      <c r="J33" s="145"/>
      <c r="K33" s="145">
        <v>91.4</v>
      </c>
      <c r="L33" s="145">
        <v>1.88</v>
      </c>
      <c r="M33" s="145">
        <v>5.95</v>
      </c>
    </row>
    <row r="34" spans="1:13" x14ac:dyDescent="0.3">
      <c r="A34" s="86">
        <v>44695</v>
      </c>
      <c r="B34" s="66"/>
      <c r="C34" s="144">
        <v>54.18</v>
      </c>
      <c r="D34" s="144">
        <v>0.25</v>
      </c>
      <c r="E34" s="144">
        <v>1.3</v>
      </c>
      <c r="F34" s="144">
        <v>44.28</v>
      </c>
      <c r="G34" s="145"/>
      <c r="H34" s="145"/>
      <c r="I34" s="145">
        <v>0.77</v>
      </c>
      <c r="J34" s="145"/>
      <c r="K34" s="145">
        <v>91.4</v>
      </c>
      <c r="L34" s="145">
        <v>1.88</v>
      </c>
      <c r="M34" s="145">
        <v>5.95</v>
      </c>
    </row>
    <row r="35" spans="1:13" x14ac:dyDescent="0.3">
      <c r="A35" s="86">
        <v>44696</v>
      </c>
      <c r="B35" s="66"/>
      <c r="C35" s="144">
        <v>54.18</v>
      </c>
      <c r="D35" s="144">
        <v>0.25</v>
      </c>
      <c r="E35" s="144">
        <v>1.3</v>
      </c>
      <c r="F35" s="144">
        <v>44.28</v>
      </c>
      <c r="G35" s="145"/>
      <c r="H35" s="145"/>
      <c r="I35" s="145">
        <v>0.77</v>
      </c>
      <c r="J35" s="145"/>
      <c r="K35" s="145">
        <v>91.4</v>
      </c>
      <c r="L35" s="145">
        <v>1.88</v>
      </c>
      <c r="M35" s="145">
        <v>5.95</v>
      </c>
    </row>
    <row r="36" spans="1:13" x14ac:dyDescent="0.3">
      <c r="A36" s="86">
        <v>44697</v>
      </c>
      <c r="B36" s="66"/>
      <c r="C36" s="144">
        <v>54.18</v>
      </c>
      <c r="D36" s="144">
        <v>0.25</v>
      </c>
      <c r="E36" s="144">
        <v>1.3</v>
      </c>
      <c r="F36" s="144">
        <v>44.28</v>
      </c>
      <c r="G36" s="145"/>
      <c r="H36" s="145"/>
      <c r="I36" s="145">
        <v>0.77</v>
      </c>
      <c r="J36" s="145"/>
      <c r="K36" s="145">
        <v>91.4</v>
      </c>
      <c r="L36" s="145">
        <v>1.88</v>
      </c>
      <c r="M36" s="145">
        <v>5.95</v>
      </c>
    </row>
    <row r="37" spans="1:13" x14ac:dyDescent="0.3">
      <c r="A37" s="86">
        <v>44698</v>
      </c>
      <c r="B37" s="66"/>
      <c r="C37" s="144">
        <v>47.33</v>
      </c>
      <c r="D37" s="144">
        <v>0.26</v>
      </c>
      <c r="E37" s="144">
        <v>1.42</v>
      </c>
      <c r="F37" s="144">
        <v>50.99</v>
      </c>
      <c r="G37" s="145"/>
      <c r="H37" s="145"/>
      <c r="I37" s="145">
        <v>0.11</v>
      </c>
      <c r="J37" s="145"/>
      <c r="K37" s="145">
        <v>96.35</v>
      </c>
      <c r="L37" s="145">
        <v>0.83</v>
      </c>
      <c r="M37" s="145">
        <v>2.71</v>
      </c>
    </row>
    <row r="38" spans="1:13" s="116" customFormat="1" x14ac:dyDescent="0.3">
      <c r="A38" s="105">
        <v>44699</v>
      </c>
      <c r="B38" s="106">
        <v>0</v>
      </c>
      <c r="C38" s="115">
        <v>38.130000000000003</v>
      </c>
      <c r="D38" s="115">
        <v>0.77</v>
      </c>
      <c r="E38" s="115">
        <v>1.52</v>
      </c>
      <c r="F38" s="115">
        <v>59.58</v>
      </c>
      <c r="G38" s="115"/>
      <c r="H38" s="115"/>
      <c r="I38" s="115">
        <v>0.78</v>
      </c>
      <c r="J38" s="115"/>
      <c r="K38" s="115">
        <v>84.23</v>
      </c>
      <c r="L38" s="115">
        <v>2.99</v>
      </c>
      <c r="M38" s="115">
        <v>12</v>
      </c>
    </row>
    <row r="39" spans="1:13" x14ac:dyDescent="0.3">
      <c r="A39" s="105">
        <v>44700</v>
      </c>
      <c r="B39" s="104">
        <f>A39-A38+B38</f>
        <v>1</v>
      </c>
      <c r="C39" s="144">
        <v>38.130000000000003</v>
      </c>
      <c r="D39" s="144">
        <v>0.77</v>
      </c>
      <c r="E39" s="144">
        <v>1.52</v>
      </c>
      <c r="F39" s="144">
        <v>59.58</v>
      </c>
      <c r="G39" s="145"/>
      <c r="H39" s="145"/>
      <c r="I39" s="145">
        <v>0.78</v>
      </c>
      <c r="J39" s="145"/>
      <c r="K39" s="145">
        <v>84.23</v>
      </c>
      <c r="L39" s="145">
        <v>2.99</v>
      </c>
      <c r="M39" s="145">
        <v>12</v>
      </c>
    </row>
    <row r="40" spans="1:13" x14ac:dyDescent="0.3">
      <c r="A40" s="86">
        <v>44701</v>
      </c>
      <c r="B40" s="104">
        <f t="shared" ref="B40:B105" si="0">A40-A39+B39</f>
        <v>2</v>
      </c>
      <c r="C40" s="144">
        <v>16.05</v>
      </c>
      <c r="D40" s="144">
        <v>0.78</v>
      </c>
      <c r="E40" s="144">
        <v>1.77</v>
      </c>
      <c r="F40" s="144">
        <v>81.39</v>
      </c>
      <c r="G40" s="145"/>
      <c r="H40" s="145"/>
      <c r="I40" s="145"/>
      <c r="J40" s="145"/>
      <c r="K40" s="145">
        <v>65.72</v>
      </c>
      <c r="L40" s="145">
        <v>7.27</v>
      </c>
      <c r="M40" s="145">
        <v>27.01</v>
      </c>
    </row>
    <row r="41" spans="1:13" x14ac:dyDescent="0.3">
      <c r="A41" s="86">
        <v>44702</v>
      </c>
      <c r="B41" s="104">
        <f t="shared" si="0"/>
        <v>3</v>
      </c>
      <c r="C41" s="144">
        <v>16.05</v>
      </c>
      <c r="D41" s="144">
        <v>0.78</v>
      </c>
      <c r="E41" s="144">
        <v>1.77</v>
      </c>
      <c r="F41" s="144">
        <v>81.39</v>
      </c>
      <c r="G41" s="145"/>
      <c r="H41" s="145"/>
      <c r="I41" s="145"/>
      <c r="J41" s="145"/>
      <c r="K41" s="145">
        <v>65.72</v>
      </c>
      <c r="L41" s="145">
        <v>7.27</v>
      </c>
      <c r="M41" s="145">
        <v>27.01</v>
      </c>
    </row>
    <row r="42" spans="1:13" x14ac:dyDescent="0.3">
      <c r="A42" s="86">
        <v>44703</v>
      </c>
      <c r="B42" s="104">
        <f t="shared" si="0"/>
        <v>4</v>
      </c>
      <c r="C42" s="144">
        <v>16.05</v>
      </c>
      <c r="D42" s="144">
        <v>0.78</v>
      </c>
      <c r="E42" s="144">
        <v>1.77</v>
      </c>
      <c r="F42" s="144">
        <v>81.39</v>
      </c>
      <c r="G42" s="145"/>
      <c r="H42" s="145"/>
      <c r="I42" s="145"/>
      <c r="J42" s="145"/>
      <c r="K42" s="145">
        <v>65.72</v>
      </c>
      <c r="L42" s="145">
        <v>7.27</v>
      </c>
      <c r="M42" s="145">
        <v>27.01</v>
      </c>
    </row>
    <row r="43" spans="1:13" x14ac:dyDescent="0.3">
      <c r="A43" s="86">
        <v>44704</v>
      </c>
      <c r="B43" s="104">
        <f t="shared" si="0"/>
        <v>5</v>
      </c>
      <c r="C43" s="144">
        <v>8.07</v>
      </c>
      <c r="D43" s="144">
        <v>0.81</v>
      </c>
      <c r="E43" s="144">
        <v>1.59</v>
      </c>
      <c r="F43" s="144">
        <v>89.52</v>
      </c>
      <c r="G43" s="145"/>
      <c r="H43" s="145"/>
      <c r="I43" s="145"/>
      <c r="J43" s="145"/>
      <c r="K43" s="145">
        <v>58.3</v>
      </c>
      <c r="L43" s="145">
        <v>8.67</v>
      </c>
      <c r="M43" s="145">
        <v>33.03</v>
      </c>
    </row>
    <row r="44" spans="1:13" x14ac:dyDescent="0.3">
      <c r="A44" s="86">
        <v>44705</v>
      </c>
      <c r="B44" s="104">
        <f t="shared" si="0"/>
        <v>6</v>
      </c>
      <c r="C44" s="144">
        <v>8.07</v>
      </c>
      <c r="D44" s="144">
        <v>0.81</v>
      </c>
      <c r="E44" s="144">
        <v>1.59</v>
      </c>
      <c r="F44" s="144">
        <v>89.52</v>
      </c>
      <c r="G44" s="145"/>
      <c r="H44" s="145"/>
      <c r="I44" s="145"/>
      <c r="J44" s="145"/>
      <c r="K44" s="145">
        <v>58.3</v>
      </c>
      <c r="L44" s="145">
        <v>8.67</v>
      </c>
      <c r="M44" s="145">
        <v>33.03</v>
      </c>
    </row>
    <row r="45" spans="1:13" x14ac:dyDescent="0.3">
      <c r="A45" s="86">
        <v>44706</v>
      </c>
      <c r="B45" s="104">
        <f t="shared" si="0"/>
        <v>7</v>
      </c>
      <c r="C45" s="144">
        <v>8.07</v>
      </c>
      <c r="D45" s="144">
        <v>0.81</v>
      </c>
      <c r="E45" s="144">
        <v>1.59</v>
      </c>
      <c r="F45" s="144">
        <v>89.52</v>
      </c>
      <c r="G45" s="145"/>
      <c r="H45" s="145"/>
      <c r="I45" s="145"/>
      <c r="J45" s="145"/>
      <c r="K45" s="145">
        <v>58.3</v>
      </c>
      <c r="L45" s="145">
        <v>8.67</v>
      </c>
      <c r="M45" s="145">
        <v>33.03</v>
      </c>
    </row>
    <row r="46" spans="1:13" x14ac:dyDescent="0.3">
      <c r="A46" s="86">
        <v>44707</v>
      </c>
      <c r="B46" s="104">
        <f t="shared" si="0"/>
        <v>8</v>
      </c>
      <c r="C46" s="144">
        <v>11.83</v>
      </c>
      <c r="D46" s="144">
        <v>0.8</v>
      </c>
      <c r="E46" s="144">
        <v>1.86</v>
      </c>
      <c r="F46" s="144">
        <v>85.5</v>
      </c>
      <c r="G46" s="145"/>
      <c r="H46" s="145"/>
      <c r="I46" s="145"/>
      <c r="J46" s="145"/>
      <c r="K46" s="145">
        <v>65.84</v>
      </c>
      <c r="L46" s="145">
        <v>6.64</v>
      </c>
      <c r="M46" s="145">
        <v>27.52</v>
      </c>
    </row>
    <row r="47" spans="1:13" x14ac:dyDescent="0.3">
      <c r="A47" s="86">
        <v>44708</v>
      </c>
      <c r="B47" s="104">
        <f t="shared" si="0"/>
        <v>9</v>
      </c>
      <c r="C47" s="144">
        <v>11.83</v>
      </c>
      <c r="D47" s="144">
        <v>0.8</v>
      </c>
      <c r="E47" s="144">
        <v>1.86</v>
      </c>
      <c r="F47" s="144">
        <v>85.5</v>
      </c>
      <c r="G47" s="145"/>
      <c r="H47" s="145"/>
      <c r="I47" s="145"/>
      <c r="J47" s="145"/>
      <c r="K47" s="145">
        <v>65.84</v>
      </c>
      <c r="L47" s="145">
        <v>6.64</v>
      </c>
      <c r="M47" s="145">
        <v>27.52</v>
      </c>
    </row>
    <row r="48" spans="1:13" x14ac:dyDescent="0.3">
      <c r="A48" s="86">
        <v>44709</v>
      </c>
      <c r="B48" s="104">
        <f t="shared" si="0"/>
        <v>10</v>
      </c>
      <c r="C48" s="144">
        <v>10.82</v>
      </c>
      <c r="D48" s="144">
        <v>1.68</v>
      </c>
      <c r="E48" s="144">
        <v>1.67</v>
      </c>
      <c r="F48" s="144">
        <v>85.83</v>
      </c>
      <c r="G48" s="145"/>
      <c r="H48" s="145"/>
      <c r="I48" s="145"/>
      <c r="J48" s="145"/>
      <c r="K48" s="145">
        <v>65.5</v>
      </c>
      <c r="L48" s="145">
        <v>7.11</v>
      </c>
      <c r="M48" s="145">
        <v>27.4</v>
      </c>
    </row>
    <row r="49" spans="1:13" x14ac:dyDescent="0.3">
      <c r="A49" s="86">
        <v>44710</v>
      </c>
      <c r="B49" s="104">
        <f t="shared" si="0"/>
        <v>11</v>
      </c>
      <c r="C49" s="144">
        <v>10.82</v>
      </c>
      <c r="D49" s="144">
        <v>1.68</v>
      </c>
      <c r="E49" s="144">
        <v>1.67</v>
      </c>
      <c r="F49" s="144">
        <v>85.83</v>
      </c>
      <c r="G49" s="145"/>
      <c r="H49" s="145"/>
      <c r="I49" s="145"/>
      <c r="J49" s="145"/>
      <c r="K49" s="145">
        <v>65.5</v>
      </c>
      <c r="L49" s="145">
        <v>7.11</v>
      </c>
      <c r="M49" s="145">
        <v>27.4</v>
      </c>
    </row>
    <row r="50" spans="1:13" x14ac:dyDescent="0.3">
      <c r="A50" s="86">
        <v>44711</v>
      </c>
      <c r="B50" s="104">
        <f t="shared" si="0"/>
        <v>12</v>
      </c>
      <c r="C50" s="144">
        <v>10.210000000000001</v>
      </c>
      <c r="D50" s="144">
        <v>1.98</v>
      </c>
      <c r="E50" s="144">
        <v>1.77</v>
      </c>
      <c r="F50" s="144">
        <v>86.05</v>
      </c>
      <c r="G50" s="145"/>
      <c r="H50" s="145"/>
      <c r="I50" s="145"/>
      <c r="J50" s="145"/>
      <c r="K50" s="145">
        <v>68.14</v>
      </c>
      <c r="L50" s="145">
        <v>6.64</v>
      </c>
      <c r="M50" s="145">
        <v>25.22</v>
      </c>
    </row>
    <row r="51" spans="1:13" x14ac:dyDescent="0.3">
      <c r="A51" s="86">
        <v>44712</v>
      </c>
      <c r="B51" s="104">
        <f t="shared" si="0"/>
        <v>13</v>
      </c>
      <c r="C51" s="144">
        <v>10.210000000000001</v>
      </c>
      <c r="D51" s="144">
        <v>1.98</v>
      </c>
      <c r="E51" s="144">
        <v>1.77</v>
      </c>
      <c r="F51" s="144">
        <v>86.05</v>
      </c>
      <c r="G51" s="145"/>
      <c r="H51" s="145"/>
      <c r="I51" s="145"/>
      <c r="J51" s="145"/>
      <c r="K51" s="145">
        <v>68.14</v>
      </c>
      <c r="L51" s="145">
        <v>6.64</v>
      </c>
      <c r="M51" s="145">
        <v>25.22</v>
      </c>
    </row>
    <row r="52" spans="1:13" x14ac:dyDescent="0.3">
      <c r="A52" s="86">
        <v>44713</v>
      </c>
      <c r="B52" s="104">
        <f t="shared" si="0"/>
        <v>14</v>
      </c>
      <c r="C52" s="144">
        <v>8.76</v>
      </c>
      <c r="D52" s="144">
        <v>1.39</v>
      </c>
      <c r="E52" s="144">
        <v>1.63</v>
      </c>
      <c r="F52" s="144">
        <v>88.22</v>
      </c>
      <c r="G52" s="145"/>
      <c r="H52" s="145"/>
      <c r="I52" s="145"/>
      <c r="J52" s="145"/>
      <c r="K52" s="145">
        <v>58.79</v>
      </c>
      <c r="L52" s="145">
        <v>8.9499999999999993</v>
      </c>
      <c r="M52" s="145">
        <v>32.26</v>
      </c>
    </row>
    <row r="53" spans="1:13" x14ac:dyDescent="0.3">
      <c r="A53" s="86">
        <v>44714</v>
      </c>
      <c r="B53" s="104">
        <f t="shared" si="0"/>
        <v>15</v>
      </c>
      <c r="C53" s="144">
        <v>8.76</v>
      </c>
      <c r="D53" s="144">
        <v>1.39</v>
      </c>
      <c r="E53" s="144">
        <v>1.63</v>
      </c>
      <c r="F53" s="144">
        <v>88.22</v>
      </c>
      <c r="G53" s="145"/>
      <c r="H53" s="145"/>
      <c r="I53" s="145"/>
      <c r="J53" s="145"/>
      <c r="K53" s="145">
        <v>58.79</v>
      </c>
      <c r="L53" s="145">
        <v>8.9499999999999993</v>
      </c>
      <c r="M53" s="145">
        <v>32.26</v>
      </c>
    </row>
    <row r="54" spans="1:13" x14ac:dyDescent="0.3">
      <c r="A54" s="86">
        <v>44715</v>
      </c>
      <c r="B54" s="104">
        <f t="shared" si="0"/>
        <v>16</v>
      </c>
      <c r="C54" s="144">
        <v>4.71</v>
      </c>
      <c r="D54" s="144">
        <v>1.32</v>
      </c>
      <c r="E54" s="144">
        <v>1.57</v>
      </c>
      <c r="F54" s="144">
        <v>92.4</v>
      </c>
      <c r="G54" s="145"/>
      <c r="H54" s="145"/>
      <c r="I54" s="145"/>
      <c r="J54" s="145"/>
      <c r="K54" s="145">
        <v>40.659999999999997</v>
      </c>
      <c r="L54" s="145">
        <v>12.45</v>
      </c>
      <c r="M54" s="145">
        <v>46.89</v>
      </c>
    </row>
    <row r="55" spans="1:13" x14ac:dyDescent="0.3">
      <c r="A55" s="86">
        <v>44716</v>
      </c>
      <c r="B55" s="104">
        <f t="shared" si="0"/>
        <v>17</v>
      </c>
      <c r="C55" s="144">
        <v>4.71</v>
      </c>
      <c r="D55" s="144">
        <v>1.32</v>
      </c>
      <c r="E55" s="144">
        <v>1.57</v>
      </c>
      <c r="F55" s="144">
        <v>92.4</v>
      </c>
      <c r="G55" s="145"/>
      <c r="H55" s="145"/>
      <c r="I55" s="145"/>
      <c r="J55" s="145"/>
      <c r="K55" s="145">
        <v>40.659999999999997</v>
      </c>
      <c r="L55" s="145">
        <v>12.45</v>
      </c>
      <c r="M55" s="145">
        <v>46.89</v>
      </c>
    </row>
    <row r="56" spans="1:13" x14ac:dyDescent="0.3">
      <c r="A56" s="86">
        <v>44717</v>
      </c>
      <c r="B56" s="104">
        <f t="shared" si="0"/>
        <v>18</v>
      </c>
      <c r="C56" s="144">
        <v>4.71</v>
      </c>
      <c r="D56" s="144">
        <v>1.32</v>
      </c>
      <c r="E56" s="144">
        <v>1.57</v>
      </c>
      <c r="F56" s="144">
        <v>92.4</v>
      </c>
      <c r="G56" s="145"/>
      <c r="H56" s="145"/>
      <c r="I56" s="145"/>
      <c r="J56" s="145"/>
      <c r="K56" s="145">
        <v>40.659999999999997</v>
      </c>
      <c r="L56" s="145">
        <v>12.45</v>
      </c>
      <c r="M56" s="145">
        <v>46.89</v>
      </c>
    </row>
    <row r="57" spans="1:13" x14ac:dyDescent="0.3">
      <c r="A57" s="86">
        <v>44718</v>
      </c>
      <c r="B57" s="104">
        <f t="shared" si="0"/>
        <v>19</v>
      </c>
      <c r="C57" s="144">
        <v>4.53</v>
      </c>
      <c r="D57" s="144">
        <v>1.47</v>
      </c>
      <c r="E57" s="144">
        <v>1.48</v>
      </c>
      <c r="F57" s="144">
        <v>92.53</v>
      </c>
      <c r="G57" s="145"/>
      <c r="H57" s="145"/>
      <c r="I57" s="145"/>
      <c r="J57" s="145"/>
      <c r="K57" s="145">
        <v>43.86</v>
      </c>
      <c r="L57" s="145">
        <v>11.24</v>
      </c>
      <c r="M57" s="145">
        <v>44.91</v>
      </c>
    </row>
    <row r="58" spans="1:13" x14ac:dyDescent="0.3">
      <c r="A58" s="86">
        <v>44719</v>
      </c>
      <c r="B58" s="104">
        <f t="shared" si="0"/>
        <v>20</v>
      </c>
      <c r="C58" s="144">
        <v>4.53</v>
      </c>
      <c r="D58" s="144">
        <v>1.47</v>
      </c>
      <c r="E58" s="144">
        <v>1.48</v>
      </c>
      <c r="F58" s="144">
        <v>92.53</v>
      </c>
      <c r="G58" s="145"/>
      <c r="H58" s="145"/>
      <c r="I58" s="145"/>
      <c r="J58" s="145"/>
      <c r="K58" s="145">
        <v>43.86</v>
      </c>
      <c r="L58" s="145">
        <v>11.24</v>
      </c>
      <c r="M58" s="145">
        <v>44.91</v>
      </c>
    </row>
    <row r="59" spans="1:13" x14ac:dyDescent="0.3">
      <c r="A59" s="86">
        <v>44720</v>
      </c>
      <c r="B59" s="104">
        <f t="shared" si="0"/>
        <v>21</v>
      </c>
      <c r="C59" s="144">
        <v>3.61</v>
      </c>
      <c r="D59" s="144">
        <v>2.21</v>
      </c>
      <c r="E59" s="144">
        <v>1.66</v>
      </c>
      <c r="F59" s="144">
        <v>92.51</v>
      </c>
      <c r="G59" s="145"/>
      <c r="H59" s="145"/>
      <c r="I59" s="145"/>
      <c r="J59" s="145"/>
      <c r="K59" s="145">
        <v>38.450000000000003</v>
      </c>
      <c r="L59" s="145">
        <v>13.25</v>
      </c>
      <c r="M59" s="145">
        <v>48.3</v>
      </c>
    </row>
    <row r="60" spans="1:13" x14ac:dyDescent="0.3">
      <c r="A60" s="86">
        <v>44721</v>
      </c>
      <c r="B60" s="104">
        <f t="shared" si="0"/>
        <v>22</v>
      </c>
      <c r="C60" s="144">
        <v>4.22</v>
      </c>
      <c r="D60" s="144">
        <v>2.2799999999999998</v>
      </c>
      <c r="E60" s="144">
        <v>1.88</v>
      </c>
      <c r="F60" s="144">
        <v>91.62</v>
      </c>
      <c r="G60" s="145"/>
      <c r="H60" s="145"/>
      <c r="I60" s="145"/>
      <c r="J60" s="145"/>
      <c r="K60" s="145">
        <v>43.65</v>
      </c>
      <c r="L60" s="145">
        <v>11.72</v>
      </c>
      <c r="M60" s="145">
        <v>44.63</v>
      </c>
    </row>
    <row r="61" spans="1:13" x14ac:dyDescent="0.3">
      <c r="A61" s="86">
        <v>44722</v>
      </c>
      <c r="B61" s="104">
        <f t="shared" si="0"/>
        <v>23</v>
      </c>
      <c r="C61" s="144">
        <v>5.41</v>
      </c>
      <c r="D61" s="144">
        <v>2.5</v>
      </c>
      <c r="E61" s="144">
        <v>2.38</v>
      </c>
      <c r="F61" s="144">
        <v>89.71</v>
      </c>
      <c r="G61" s="145"/>
      <c r="H61" s="145"/>
      <c r="I61" s="145"/>
      <c r="J61" s="145"/>
      <c r="K61" s="145">
        <v>50.89</v>
      </c>
      <c r="L61" s="145">
        <v>10.46</v>
      </c>
      <c r="M61" s="145">
        <v>38.64</v>
      </c>
    </row>
    <row r="62" spans="1:13" x14ac:dyDescent="0.3">
      <c r="A62" s="86">
        <v>44723</v>
      </c>
      <c r="B62" s="104">
        <f t="shared" si="0"/>
        <v>24</v>
      </c>
      <c r="C62" s="144">
        <v>5.41</v>
      </c>
      <c r="D62" s="144">
        <v>2.5</v>
      </c>
      <c r="E62" s="144">
        <v>2.38</v>
      </c>
      <c r="F62" s="144">
        <v>89.71</v>
      </c>
      <c r="G62" s="145"/>
      <c r="H62" s="145"/>
      <c r="I62" s="145"/>
      <c r="J62" s="145"/>
      <c r="K62" s="145">
        <v>50.89</v>
      </c>
      <c r="L62" s="145">
        <v>10.46</v>
      </c>
      <c r="M62" s="145">
        <v>38.64</v>
      </c>
    </row>
    <row r="63" spans="1:13" x14ac:dyDescent="0.3">
      <c r="A63" s="86">
        <v>44724</v>
      </c>
      <c r="B63" s="104">
        <f t="shared" si="0"/>
        <v>25</v>
      </c>
      <c r="C63" s="144">
        <v>5.41</v>
      </c>
      <c r="D63" s="144">
        <v>2.5</v>
      </c>
      <c r="E63" s="144">
        <v>2.38</v>
      </c>
      <c r="F63" s="144">
        <v>89.71</v>
      </c>
      <c r="G63" s="145"/>
      <c r="H63" s="145"/>
      <c r="I63" s="145"/>
      <c r="J63" s="145"/>
      <c r="K63" s="145">
        <v>50.89</v>
      </c>
      <c r="L63" s="145">
        <v>10.46</v>
      </c>
      <c r="M63" s="145">
        <v>38.64</v>
      </c>
    </row>
    <row r="64" spans="1:13" x14ac:dyDescent="0.3">
      <c r="A64" s="86">
        <v>44725</v>
      </c>
      <c r="B64" s="104">
        <f t="shared" si="0"/>
        <v>26</v>
      </c>
      <c r="C64" s="144">
        <v>5.41</v>
      </c>
      <c r="D64" s="144">
        <v>2.5</v>
      </c>
      <c r="E64" s="144">
        <v>2.38</v>
      </c>
      <c r="F64" s="144">
        <v>89.71</v>
      </c>
      <c r="G64" s="145"/>
      <c r="H64" s="145"/>
      <c r="I64" s="145"/>
      <c r="J64" s="145"/>
      <c r="K64" s="145">
        <v>50.89</v>
      </c>
      <c r="L64" s="145">
        <v>10.46</v>
      </c>
      <c r="M64" s="145">
        <v>38.64</v>
      </c>
    </row>
    <row r="65" spans="1:13" x14ac:dyDescent="0.3">
      <c r="A65" s="86">
        <v>44726</v>
      </c>
      <c r="B65" s="104">
        <f t="shared" si="0"/>
        <v>27</v>
      </c>
      <c r="C65" s="144">
        <v>5.41</v>
      </c>
      <c r="D65" s="144">
        <v>2.5</v>
      </c>
      <c r="E65" s="144">
        <v>2.38</v>
      </c>
      <c r="F65" s="144">
        <v>89.71</v>
      </c>
      <c r="G65" s="145"/>
      <c r="H65" s="145"/>
      <c r="I65" s="145"/>
      <c r="J65" s="145"/>
      <c r="K65" s="145">
        <v>50.89</v>
      </c>
      <c r="L65" s="145">
        <v>10.46</v>
      </c>
      <c r="M65" s="145">
        <v>38.64</v>
      </c>
    </row>
    <row r="66" spans="1:13" x14ac:dyDescent="0.3">
      <c r="A66" s="86">
        <v>44727</v>
      </c>
      <c r="B66" s="104">
        <f t="shared" si="0"/>
        <v>28</v>
      </c>
      <c r="C66" s="144">
        <v>5.41</v>
      </c>
      <c r="D66" s="144">
        <v>2.5</v>
      </c>
      <c r="E66" s="144">
        <v>2.38</v>
      </c>
      <c r="F66" s="144">
        <v>89.71</v>
      </c>
      <c r="G66" s="145"/>
      <c r="H66" s="145"/>
      <c r="I66" s="145"/>
      <c r="J66" s="145"/>
      <c r="K66" s="145">
        <v>50.89</v>
      </c>
      <c r="L66" s="145">
        <v>10.46</v>
      </c>
      <c r="M66" s="145">
        <v>38.64</v>
      </c>
    </row>
    <row r="67" spans="1:13" x14ac:dyDescent="0.3">
      <c r="A67" s="86">
        <v>44728</v>
      </c>
      <c r="B67" s="104">
        <f t="shared" si="0"/>
        <v>29</v>
      </c>
      <c r="C67" s="144"/>
      <c r="D67" s="144"/>
      <c r="E67" s="144"/>
      <c r="F67" s="144"/>
      <c r="G67" s="145"/>
      <c r="H67" s="145"/>
      <c r="I67" s="145"/>
      <c r="J67" s="145"/>
      <c r="K67" s="145"/>
      <c r="L67" s="145"/>
      <c r="M67" s="145"/>
    </row>
    <row r="68" spans="1:13" x14ac:dyDescent="0.3">
      <c r="A68" s="86">
        <v>44729</v>
      </c>
      <c r="B68" s="104">
        <f t="shared" si="0"/>
        <v>30</v>
      </c>
      <c r="C68" s="144">
        <v>5.0599999999999996</v>
      </c>
      <c r="D68" s="144">
        <v>1.1399999999999999</v>
      </c>
      <c r="E68" s="144">
        <v>2.0299999999999998</v>
      </c>
      <c r="F68" s="144">
        <v>91.77</v>
      </c>
      <c r="G68" s="145"/>
      <c r="H68" s="145"/>
      <c r="I68" s="145"/>
      <c r="J68" s="145"/>
      <c r="K68" s="145">
        <v>47.61</v>
      </c>
      <c r="L68" s="145">
        <v>10.73</v>
      </c>
      <c r="M68" s="145">
        <v>41.66</v>
      </c>
    </row>
    <row r="69" spans="1:13" x14ac:dyDescent="0.3">
      <c r="A69" s="86">
        <v>44730</v>
      </c>
      <c r="B69" s="104">
        <f t="shared" ref="B69:B70" si="1">A69-A68+B68</f>
        <v>31</v>
      </c>
      <c r="C69" s="144">
        <v>5.0599999999999996</v>
      </c>
      <c r="D69" s="144">
        <v>1.1399999999999999</v>
      </c>
      <c r="E69" s="144">
        <v>2.0299999999999998</v>
      </c>
      <c r="F69" s="144">
        <v>91.77</v>
      </c>
      <c r="G69" s="145"/>
      <c r="H69" s="145"/>
      <c r="I69" s="145"/>
      <c r="J69" s="145"/>
      <c r="K69" s="145">
        <v>47.61</v>
      </c>
      <c r="L69" s="145">
        <v>10.73</v>
      </c>
      <c r="M69" s="145">
        <v>41.66</v>
      </c>
    </row>
    <row r="70" spans="1:13" x14ac:dyDescent="0.3">
      <c r="A70" s="86">
        <v>44731</v>
      </c>
      <c r="B70" s="104">
        <f t="shared" si="1"/>
        <v>32</v>
      </c>
      <c r="C70" s="144">
        <v>5.0599999999999996</v>
      </c>
      <c r="D70" s="144">
        <v>1.1399999999999999</v>
      </c>
      <c r="E70" s="144">
        <v>2.0299999999999998</v>
      </c>
      <c r="F70" s="144">
        <v>91.77</v>
      </c>
      <c r="G70" s="145"/>
      <c r="H70" s="145"/>
      <c r="I70" s="145"/>
      <c r="J70" s="145"/>
      <c r="K70" s="145">
        <v>47.61</v>
      </c>
      <c r="L70" s="145">
        <v>10.73</v>
      </c>
      <c r="M70" s="145">
        <v>41.66</v>
      </c>
    </row>
    <row r="71" spans="1:13" x14ac:dyDescent="0.3">
      <c r="A71" s="86">
        <v>44732</v>
      </c>
      <c r="B71" s="104">
        <f>A71-A68+B68</f>
        <v>33</v>
      </c>
      <c r="C71" s="144">
        <v>3.69</v>
      </c>
      <c r="D71" s="144">
        <v>1.31</v>
      </c>
      <c r="E71" s="144">
        <v>1.97</v>
      </c>
      <c r="F71" s="144">
        <v>93.03</v>
      </c>
      <c r="G71" s="145"/>
      <c r="H71" s="145"/>
      <c r="I71" s="145"/>
      <c r="J71" s="145"/>
      <c r="K71" s="145">
        <v>42.28</v>
      </c>
      <c r="L71" s="145">
        <v>12.17</v>
      </c>
      <c r="M71" s="145">
        <v>45.55</v>
      </c>
    </row>
    <row r="72" spans="1:13" x14ac:dyDescent="0.3">
      <c r="A72" s="86">
        <v>44733</v>
      </c>
      <c r="B72" s="104">
        <f t="shared" si="0"/>
        <v>34</v>
      </c>
      <c r="C72" s="144">
        <v>3.69</v>
      </c>
      <c r="D72" s="144">
        <v>1.31</v>
      </c>
      <c r="E72" s="144">
        <v>1.97</v>
      </c>
      <c r="F72" s="144">
        <v>93.03</v>
      </c>
      <c r="G72" s="145"/>
      <c r="H72" s="145"/>
      <c r="I72" s="145"/>
      <c r="J72" s="145"/>
      <c r="K72" s="145">
        <v>42.28</v>
      </c>
      <c r="L72" s="145">
        <v>12.17</v>
      </c>
      <c r="M72" s="145">
        <v>45.55</v>
      </c>
    </row>
    <row r="73" spans="1:13" x14ac:dyDescent="0.3">
      <c r="A73" s="86">
        <v>44734</v>
      </c>
      <c r="B73" s="104">
        <f t="shared" si="0"/>
        <v>35</v>
      </c>
      <c r="C73" s="144">
        <v>4.24</v>
      </c>
      <c r="D73" s="144">
        <v>1.37</v>
      </c>
      <c r="E73" s="144">
        <v>2.12</v>
      </c>
      <c r="F73" s="144">
        <v>92.27</v>
      </c>
      <c r="G73" s="145"/>
      <c r="H73" s="145"/>
      <c r="I73" s="145"/>
      <c r="J73" s="145"/>
      <c r="K73" s="145">
        <v>46.49</v>
      </c>
      <c r="L73" s="145">
        <v>11.59</v>
      </c>
      <c r="M73" s="145">
        <v>41.92</v>
      </c>
    </row>
    <row r="74" spans="1:13" x14ac:dyDescent="0.3">
      <c r="A74" s="86">
        <v>44735</v>
      </c>
      <c r="B74" s="104">
        <f t="shared" si="0"/>
        <v>36</v>
      </c>
      <c r="C74" s="144">
        <v>3.26</v>
      </c>
      <c r="D74" s="144">
        <v>1.21</v>
      </c>
      <c r="E74" s="144">
        <v>1.91</v>
      </c>
      <c r="F74" s="144">
        <v>93.63</v>
      </c>
      <c r="G74" s="145"/>
      <c r="H74" s="145"/>
      <c r="I74" s="145"/>
      <c r="J74" s="145"/>
      <c r="K74" s="145">
        <v>34.19</v>
      </c>
      <c r="L74" s="145">
        <v>14.63</v>
      </c>
      <c r="M74" s="145">
        <v>51.18</v>
      </c>
    </row>
    <row r="75" spans="1:13" x14ac:dyDescent="0.3">
      <c r="A75" s="86">
        <v>44736</v>
      </c>
      <c r="B75" s="104">
        <f t="shared" si="0"/>
        <v>37</v>
      </c>
      <c r="C75" s="144">
        <v>3.26</v>
      </c>
      <c r="D75" s="144">
        <v>1.21</v>
      </c>
      <c r="E75" s="144">
        <v>1.91</v>
      </c>
      <c r="F75" s="144">
        <v>93.63</v>
      </c>
      <c r="G75" s="145"/>
      <c r="H75" s="145"/>
      <c r="I75" s="145"/>
      <c r="J75" s="145"/>
      <c r="K75" s="145">
        <v>34.19</v>
      </c>
      <c r="L75" s="145">
        <v>14.63</v>
      </c>
      <c r="M75" s="145">
        <v>51.18</v>
      </c>
    </row>
    <row r="76" spans="1:13" x14ac:dyDescent="0.3">
      <c r="A76" s="86">
        <v>44737</v>
      </c>
      <c r="B76" s="104">
        <f t="shared" si="0"/>
        <v>38</v>
      </c>
      <c r="C76" s="144">
        <v>3.26</v>
      </c>
      <c r="D76" s="144">
        <v>1.21</v>
      </c>
      <c r="E76" s="144">
        <v>1.91</v>
      </c>
      <c r="F76" s="144">
        <v>93.63</v>
      </c>
      <c r="G76" s="145"/>
      <c r="H76" s="145"/>
      <c r="I76" s="145"/>
      <c r="J76" s="145"/>
      <c r="K76" s="145">
        <v>34.19</v>
      </c>
      <c r="L76" s="145">
        <v>14.63</v>
      </c>
      <c r="M76" s="145">
        <v>51.18</v>
      </c>
    </row>
    <row r="77" spans="1:13" x14ac:dyDescent="0.3">
      <c r="A77" s="86">
        <v>44738</v>
      </c>
      <c r="B77" s="104">
        <f t="shared" si="0"/>
        <v>39</v>
      </c>
      <c r="C77" s="144">
        <v>3.26</v>
      </c>
      <c r="D77" s="144">
        <v>1.21</v>
      </c>
      <c r="E77" s="144">
        <v>1.91</v>
      </c>
      <c r="F77" s="144">
        <v>93.63</v>
      </c>
      <c r="G77" s="145"/>
      <c r="H77" s="145"/>
      <c r="I77" s="145"/>
      <c r="J77" s="145"/>
      <c r="K77" s="145">
        <v>34.19</v>
      </c>
      <c r="L77" s="145">
        <v>14.63</v>
      </c>
      <c r="M77" s="145">
        <v>51.18</v>
      </c>
    </row>
    <row r="78" spans="1:13" x14ac:dyDescent="0.3">
      <c r="A78" s="86">
        <v>44739</v>
      </c>
      <c r="B78" s="104">
        <f t="shared" si="0"/>
        <v>40</v>
      </c>
      <c r="C78" s="144">
        <v>5.5</v>
      </c>
      <c r="D78" s="144">
        <v>1.39</v>
      </c>
      <c r="E78" s="144">
        <v>2.2400000000000002</v>
      </c>
      <c r="F78" s="144">
        <v>90.87</v>
      </c>
      <c r="G78" s="145"/>
      <c r="H78" s="145"/>
      <c r="I78" s="145"/>
      <c r="J78" s="145"/>
      <c r="K78" s="145">
        <v>51.95</v>
      </c>
      <c r="L78" s="145">
        <v>9.68</v>
      </c>
      <c r="M78" s="145">
        <v>38.369999999999997</v>
      </c>
    </row>
    <row r="79" spans="1:13" x14ac:dyDescent="0.3">
      <c r="A79" s="86">
        <v>44740</v>
      </c>
      <c r="B79" s="104">
        <f t="shared" si="0"/>
        <v>41</v>
      </c>
      <c r="C79" s="144">
        <v>5.5</v>
      </c>
      <c r="D79" s="144">
        <v>1.39</v>
      </c>
      <c r="E79" s="144">
        <v>2.2400000000000002</v>
      </c>
      <c r="F79" s="144">
        <v>90.87</v>
      </c>
      <c r="G79" s="145"/>
      <c r="H79" s="145"/>
      <c r="I79" s="145"/>
      <c r="J79" s="145"/>
      <c r="K79" s="145">
        <v>51.95</v>
      </c>
      <c r="L79" s="145">
        <v>9.68</v>
      </c>
      <c r="M79" s="145">
        <v>38.369999999999997</v>
      </c>
    </row>
    <row r="80" spans="1:13" x14ac:dyDescent="0.3">
      <c r="A80" s="105">
        <v>44741</v>
      </c>
      <c r="B80" s="104">
        <f t="shared" si="0"/>
        <v>42</v>
      </c>
      <c r="C80" s="144"/>
      <c r="D80" s="144"/>
      <c r="E80" s="144"/>
      <c r="F80" s="144"/>
      <c r="G80" s="145"/>
      <c r="H80" s="145"/>
      <c r="I80" s="145"/>
      <c r="J80" s="145"/>
      <c r="K80" s="145"/>
      <c r="L80" s="145"/>
      <c r="M80" s="145"/>
    </row>
    <row r="81" spans="1:13" x14ac:dyDescent="0.3">
      <c r="A81" s="86">
        <v>44742</v>
      </c>
      <c r="B81" s="104">
        <f t="shared" si="0"/>
        <v>43</v>
      </c>
      <c r="C81" s="144"/>
      <c r="D81" s="144"/>
      <c r="E81" s="144"/>
      <c r="F81" s="144"/>
      <c r="G81" s="145"/>
      <c r="H81" s="145"/>
      <c r="I81" s="145"/>
      <c r="J81" s="145"/>
      <c r="K81" s="145"/>
      <c r="L81" s="145"/>
      <c r="M81" s="145"/>
    </row>
    <row r="82" spans="1:13" x14ac:dyDescent="0.3">
      <c r="A82" s="86">
        <v>44743</v>
      </c>
      <c r="B82" s="104">
        <f t="shared" si="0"/>
        <v>44</v>
      </c>
      <c r="C82" s="144">
        <v>12.13</v>
      </c>
      <c r="D82" s="144">
        <v>1.73</v>
      </c>
      <c r="E82" s="144">
        <v>1.95</v>
      </c>
      <c r="F82" s="144">
        <v>84.18</v>
      </c>
      <c r="G82" s="145"/>
      <c r="H82" s="145"/>
      <c r="I82" s="145"/>
      <c r="J82" s="145"/>
      <c r="K82" s="145">
        <v>70.05</v>
      </c>
      <c r="L82" s="145">
        <v>4.49</v>
      </c>
      <c r="M82" s="145">
        <v>25.45</v>
      </c>
    </row>
    <row r="83" spans="1:13" x14ac:dyDescent="0.3">
      <c r="A83" s="86">
        <v>44744</v>
      </c>
      <c r="B83" s="104">
        <f t="shared" si="0"/>
        <v>45</v>
      </c>
      <c r="C83" s="144">
        <v>12.13</v>
      </c>
      <c r="D83" s="144">
        <v>1.73</v>
      </c>
      <c r="E83" s="144">
        <v>1.95</v>
      </c>
      <c r="F83" s="144">
        <v>84.18</v>
      </c>
      <c r="G83" s="145"/>
      <c r="H83" s="145"/>
      <c r="I83" s="145"/>
      <c r="J83" s="145"/>
      <c r="K83" s="145">
        <v>70.05</v>
      </c>
      <c r="L83" s="145">
        <v>4.49</v>
      </c>
      <c r="M83" s="145">
        <v>25.45</v>
      </c>
    </row>
    <row r="84" spans="1:13" x14ac:dyDescent="0.3">
      <c r="A84" s="86">
        <v>44745</v>
      </c>
      <c r="B84" s="104">
        <f t="shared" si="0"/>
        <v>46</v>
      </c>
      <c r="C84" s="144">
        <v>12.13</v>
      </c>
      <c r="D84" s="144">
        <v>1.73</v>
      </c>
      <c r="E84" s="144">
        <v>1.95</v>
      </c>
      <c r="F84" s="144">
        <v>84.18</v>
      </c>
      <c r="G84" s="145"/>
      <c r="H84" s="145"/>
      <c r="I84" s="145"/>
      <c r="J84" s="145"/>
      <c r="K84" s="145">
        <v>70.05</v>
      </c>
      <c r="L84" s="145">
        <v>4.49</v>
      </c>
      <c r="M84" s="145">
        <v>25.45</v>
      </c>
    </row>
    <row r="85" spans="1:13" x14ac:dyDescent="0.3">
      <c r="A85" s="86">
        <v>44746</v>
      </c>
      <c r="B85" s="104">
        <f t="shared" si="0"/>
        <v>47</v>
      </c>
      <c r="C85" s="144">
        <v>12.13</v>
      </c>
      <c r="D85" s="144">
        <v>1.73</v>
      </c>
      <c r="E85" s="144">
        <v>1.95</v>
      </c>
      <c r="F85" s="144">
        <v>84.18</v>
      </c>
      <c r="G85" s="145"/>
      <c r="H85" s="145"/>
      <c r="I85" s="145"/>
      <c r="J85" s="145"/>
      <c r="K85" s="145">
        <v>70.05</v>
      </c>
      <c r="L85" s="145">
        <v>4.49</v>
      </c>
      <c r="M85" s="145">
        <v>25.45</v>
      </c>
    </row>
    <row r="86" spans="1:13" x14ac:dyDescent="0.3">
      <c r="A86" s="86">
        <v>44747</v>
      </c>
      <c r="B86" s="104">
        <f t="shared" si="0"/>
        <v>48</v>
      </c>
      <c r="C86" s="144">
        <v>12.13</v>
      </c>
      <c r="D86" s="144">
        <v>1.73</v>
      </c>
      <c r="E86" s="144">
        <v>1.95</v>
      </c>
      <c r="F86" s="144">
        <v>84.18</v>
      </c>
      <c r="G86" s="145"/>
      <c r="H86" s="145"/>
      <c r="I86" s="145"/>
      <c r="J86" s="145"/>
      <c r="K86" s="145">
        <v>70.05</v>
      </c>
      <c r="L86" s="145">
        <v>4.49</v>
      </c>
      <c r="M86" s="145">
        <v>25.45</v>
      </c>
    </row>
    <row r="87" spans="1:13" x14ac:dyDescent="0.3">
      <c r="A87" s="86">
        <v>44748</v>
      </c>
      <c r="B87" s="104">
        <f t="shared" si="0"/>
        <v>49</v>
      </c>
      <c r="C87" s="144">
        <v>12.13</v>
      </c>
      <c r="D87" s="144">
        <v>1.73</v>
      </c>
      <c r="E87" s="144">
        <v>1.95</v>
      </c>
      <c r="F87" s="144">
        <v>84.18</v>
      </c>
      <c r="G87" s="145"/>
      <c r="H87" s="145"/>
      <c r="I87" s="145"/>
      <c r="J87" s="145"/>
      <c r="K87" s="145">
        <v>70.05</v>
      </c>
      <c r="L87" s="145">
        <v>4.49</v>
      </c>
      <c r="M87" s="145">
        <v>25.45</v>
      </c>
    </row>
    <row r="88" spans="1:13" x14ac:dyDescent="0.3">
      <c r="A88" s="86">
        <v>44749</v>
      </c>
      <c r="B88" s="104">
        <f t="shared" si="0"/>
        <v>50</v>
      </c>
      <c r="C88" s="144">
        <v>10.97</v>
      </c>
      <c r="D88" s="144">
        <v>0.55000000000000004</v>
      </c>
      <c r="E88" s="144">
        <v>1.96</v>
      </c>
      <c r="F88" s="144">
        <v>86.52</v>
      </c>
      <c r="G88" s="145"/>
      <c r="H88" s="145"/>
      <c r="I88" s="145"/>
      <c r="J88" s="145"/>
      <c r="K88" s="145">
        <v>57.76</v>
      </c>
      <c r="L88" s="145">
        <v>6.05</v>
      </c>
      <c r="M88" s="145">
        <v>36.19</v>
      </c>
    </row>
    <row r="89" spans="1:13" x14ac:dyDescent="0.3">
      <c r="A89" s="86">
        <v>44750</v>
      </c>
      <c r="B89" s="104">
        <f t="shared" si="0"/>
        <v>51</v>
      </c>
      <c r="C89" s="144">
        <v>9.5500000000000007</v>
      </c>
      <c r="D89" s="144">
        <v>0.48</v>
      </c>
      <c r="E89" s="144">
        <v>1.88</v>
      </c>
      <c r="F89" s="144">
        <v>88.09</v>
      </c>
      <c r="G89" s="145"/>
      <c r="H89" s="145"/>
      <c r="I89" s="145"/>
      <c r="J89" s="145"/>
      <c r="K89" s="145">
        <v>47.52</v>
      </c>
      <c r="L89" s="145">
        <v>8.68</v>
      </c>
      <c r="M89" s="145">
        <v>43.79</v>
      </c>
    </row>
    <row r="90" spans="1:13" x14ac:dyDescent="0.3">
      <c r="A90" s="86">
        <v>44751</v>
      </c>
      <c r="B90" s="104">
        <f t="shared" si="0"/>
        <v>52</v>
      </c>
      <c r="C90" s="144">
        <v>9.5500000000000007</v>
      </c>
      <c r="D90" s="144">
        <v>0.48</v>
      </c>
      <c r="E90" s="144">
        <v>1.88</v>
      </c>
      <c r="F90" s="144">
        <v>88.09</v>
      </c>
      <c r="G90" s="145"/>
      <c r="H90" s="145"/>
      <c r="I90" s="145"/>
      <c r="J90" s="145"/>
      <c r="K90" s="145">
        <v>47.52</v>
      </c>
      <c r="L90" s="145">
        <v>8.68</v>
      </c>
      <c r="M90" s="145">
        <v>43.79</v>
      </c>
    </row>
    <row r="91" spans="1:13" x14ac:dyDescent="0.3">
      <c r="A91" s="86">
        <v>44752</v>
      </c>
      <c r="B91" s="104">
        <f t="shared" si="0"/>
        <v>53</v>
      </c>
      <c r="C91" s="144">
        <v>9.5500000000000007</v>
      </c>
      <c r="D91" s="144">
        <v>0.48</v>
      </c>
      <c r="E91" s="144">
        <v>1.88</v>
      </c>
      <c r="F91" s="144">
        <v>88.09</v>
      </c>
      <c r="G91" s="145"/>
      <c r="H91" s="145"/>
      <c r="I91" s="145"/>
      <c r="J91" s="145"/>
      <c r="K91" s="145">
        <v>47.52</v>
      </c>
      <c r="L91" s="145">
        <v>8.68</v>
      </c>
      <c r="M91" s="145">
        <v>43.79</v>
      </c>
    </row>
    <row r="92" spans="1:13" x14ac:dyDescent="0.3">
      <c r="A92" s="86">
        <v>44753</v>
      </c>
      <c r="B92" s="104">
        <f t="shared" si="0"/>
        <v>54</v>
      </c>
      <c r="C92" s="144">
        <v>9.5500000000000007</v>
      </c>
      <c r="D92" s="144">
        <v>0.48</v>
      </c>
      <c r="E92" s="144">
        <v>1.88</v>
      </c>
      <c r="F92" s="144">
        <v>88.09</v>
      </c>
      <c r="G92" s="145"/>
      <c r="H92" s="145"/>
      <c r="I92" s="145"/>
      <c r="J92" s="145"/>
      <c r="K92" s="145">
        <v>47.52</v>
      </c>
      <c r="L92" s="145">
        <v>8.68</v>
      </c>
      <c r="M92" s="145">
        <v>43.79</v>
      </c>
    </row>
    <row r="93" spans="1:13" x14ac:dyDescent="0.3">
      <c r="A93" s="86">
        <v>44754</v>
      </c>
      <c r="B93" s="104">
        <f t="shared" si="0"/>
        <v>55</v>
      </c>
      <c r="C93" s="144">
        <v>9.5500000000000007</v>
      </c>
      <c r="D93" s="144">
        <v>0.48</v>
      </c>
      <c r="E93" s="144">
        <v>1.88</v>
      </c>
      <c r="F93" s="144">
        <v>88.09</v>
      </c>
      <c r="G93" s="145"/>
      <c r="H93" s="145"/>
      <c r="I93" s="145"/>
      <c r="J93" s="145"/>
      <c r="K93" s="145">
        <v>47.52</v>
      </c>
      <c r="L93" s="145">
        <v>8.68</v>
      </c>
      <c r="M93" s="145">
        <v>43.79</v>
      </c>
    </row>
    <row r="94" spans="1:13" x14ac:dyDescent="0.3">
      <c r="A94" s="86">
        <v>44755</v>
      </c>
      <c r="B94" s="104">
        <f t="shared" si="0"/>
        <v>56</v>
      </c>
      <c r="C94" s="144">
        <v>9.5500000000000007</v>
      </c>
      <c r="D94" s="144">
        <v>0.48</v>
      </c>
      <c r="E94" s="144">
        <v>1.88</v>
      </c>
      <c r="F94" s="144">
        <v>88.09</v>
      </c>
      <c r="G94" s="145"/>
      <c r="H94" s="145"/>
      <c r="I94" s="145"/>
      <c r="J94" s="145"/>
      <c r="K94" s="145">
        <v>47.52</v>
      </c>
      <c r="L94" s="145">
        <v>8.68</v>
      </c>
      <c r="M94" s="145">
        <v>43.79</v>
      </c>
    </row>
    <row r="95" spans="1:13" x14ac:dyDescent="0.3">
      <c r="A95" s="86">
        <v>44756</v>
      </c>
      <c r="B95" s="104">
        <f t="shared" si="0"/>
        <v>57</v>
      </c>
      <c r="C95" s="144"/>
      <c r="D95" s="144"/>
      <c r="E95" s="144"/>
      <c r="F95" s="144"/>
      <c r="G95" s="145"/>
      <c r="H95" s="145"/>
      <c r="I95" s="145"/>
      <c r="J95" s="145"/>
      <c r="K95" s="145"/>
      <c r="L95" s="145"/>
      <c r="M95" s="145"/>
    </row>
    <row r="96" spans="1:13" x14ac:dyDescent="0.3">
      <c r="A96" s="86">
        <v>44757</v>
      </c>
      <c r="B96" s="104">
        <f t="shared" si="0"/>
        <v>58</v>
      </c>
      <c r="C96" s="144">
        <v>9.5299999999999994</v>
      </c>
      <c r="D96" s="144">
        <v>0.21</v>
      </c>
      <c r="E96" s="144">
        <v>1.55</v>
      </c>
      <c r="F96" s="144">
        <v>88.72</v>
      </c>
      <c r="G96" s="145"/>
      <c r="H96" s="145"/>
      <c r="I96" s="145"/>
      <c r="J96" s="145"/>
      <c r="K96" s="145">
        <v>48.3</v>
      </c>
      <c r="L96" s="145">
        <v>7.99</v>
      </c>
      <c r="M96" s="145">
        <v>43.71</v>
      </c>
    </row>
    <row r="97" spans="1:14" x14ac:dyDescent="0.3">
      <c r="A97" s="86">
        <v>44758</v>
      </c>
      <c r="B97" s="104">
        <f t="shared" si="0"/>
        <v>59</v>
      </c>
      <c r="C97" s="144">
        <v>9.5299999999999994</v>
      </c>
      <c r="D97" s="144">
        <v>0.21</v>
      </c>
      <c r="E97" s="144">
        <v>1.55</v>
      </c>
      <c r="F97" s="144">
        <v>88.72</v>
      </c>
      <c r="G97" s="145"/>
      <c r="H97" s="145"/>
      <c r="I97" s="145"/>
      <c r="J97" s="145"/>
      <c r="K97" s="145">
        <v>48.3</v>
      </c>
      <c r="L97" s="145">
        <v>7.99</v>
      </c>
      <c r="M97" s="145">
        <v>43.71</v>
      </c>
    </row>
    <row r="98" spans="1:14" x14ac:dyDescent="0.3">
      <c r="A98" s="86">
        <v>44759</v>
      </c>
      <c r="B98" s="104">
        <f t="shared" si="0"/>
        <v>60</v>
      </c>
      <c r="C98" s="144">
        <v>9.5299999999999994</v>
      </c>
      <c r="D98" s="144">
        <v>0.21</v>
      </c>
      <c r="E98" s="144">
        <v>1.55</v>
      </c>
      <c r="F98" s="144">
        <v>88.72</v>
      </c>
      <c r="G98" s="145"/>
      <c r="H98" s="145"/>
      <c r="I98" s="145"/>
      <c r="J98" s="145"/>
      <c r="K98" s="145">
        <v>48.3</v>
      </c>
      <c r="L98" s="145">
        <v>7.99</v>
      </c>
      <c r="M98" s="145">
        <v>43.71</v>
      </c>
    </row>
    <row r="99" spans="1:14" x14ac:dyDescent="0.3">
      <c r="A99" s="86">
        <v>44760</v>
      </c>
      <c r="B99" s="104">
        <f t="shared" si="0"/>
        <v>61</v>
      </c>
      <c r="C99" s="144">
        <v>9.5299999999999994</v>
      </c>
      <c r="D99" s="144">
        <v>0.21</v>
      </c>
      <c r="E99" s="144">
        <v>1.55</v>
      </c>
      <c r="F99" s="144">
        <v>88.72</v>
      </c>
      <c r="G99" s="145"/>
      <c r="H99" s="145"/>
      <c r="I99" s="145"/>
      <c r="J99" s="145"/>
      <c r="K99" s="145">
        <v>48.3</v>
      </c>
      <c r="L99" s="145">
        <v>7.99</v>
      </c>
      <c r="M99" s="145">
        <v>43.71</v>
      </c>
    </row>
    <row r="100" spans="1:14" x14ac:dyDescent="0.3">
      <c r="A100" s="86">
        <v>44761</v>
      </c>
      <c r="B100" s="104">
        <f t="shared" si="0"/>
        <v>62</v>
      </c>
      <c r="C100" s="144">
        <v>9.5299999999999994</v>
      </c>
      <c r="D100" s="144">
        <v>0.21</v>
      </c>
      <c r="E100" s="144">
        <v>1.55</v>
      </c>
      <c r="F100" s="144">
        <v>88.72</v>
      </c>
      <c r="G100" s="145"/>
      <c r="H100" s="145"/>
      <c r="I100" s="145"/>
      <c r="J100" s="145"/>
      <c r="K100" s="145">
        <v>48.3</v>
      </c>
      <c r="L100" s="145">
        <v>7.99</v>
      </c>
      <c r="M100" s="145">
        <v>43.71</v>
      </c>
    </row>
    <row r="101" spans="1:14" x14ac:dyDescent="0.3">
      <c r="A101" s="86">
        <v>44762</v>
      </c>
      <c r="B101" s="104">
        <f t="shared" si="0"/>
        <v>63</v>
      </c>
      <c r="C101" s="144">
        <v>9.5299999999999994</v>
      </c>
      <c r="D101" s="144">
        <v>0.21</v>
      </c>
      <c r="E101" s="144">
        <v>1.55</v>
      </c>
      <c r="F101" s="144">
        <v>88.72</v>
      </c>
      <c r="G101" s="145"/>
      <c r="H101" s="145"/>
      <c r="I101" s="145"/>
      <c r="J101" s="145"/>
      <c r="K101" s="145">
        <v>48.3</v>
      </c>
      <c r="L101" s="145">
        <v>7.99</v>
      </c>
      <c r="M101" s="145">
        <v>43.71</v>
      </c>
    </row>
    <row r="102" spans="1:14" x14ac:dyDescent="0.3">
      <c r="A102" s="86">
        <v>44763</v>
      </c>
      <c r="B102" s="104">
        <f t="shared" si="0"/>
        <v>64</v>
      </c>
      <c r="C102" s="144"/>
      <c r="D102" s="144"/>
      <c r="E102" s="144"/>
      <c r="F102" s="144"/>
      <c r="G102" s="145"/>
      <c r="H102" s="145"/>
      <c r="I102" s="145"/>
      <c r="J102" s="145"/>
      <c r="K102" s="145"/>
      <c r="L102" s="145"/>
      <c r="M102" s="145"/>
    </row>
    <row r="103" spans="1:14" x14ac:dyDescent="0.3">
      <c r="A103" s="86">
        <v>44764</v>
      </c>
      <c r="B103" s="104">
        <f t="shared" si="0"/>
        <v>65</v>
      </c>
      <c r="C103" s="144">
        <v>6.86</v>
      </c>
      <c r="D103" s="144">
        <v>0.28000000000000003</v>
      </c>
      <c r="E103" s="144">
        <v>1.72</v>
      </c>
      <c r="F103" s="144">
        <v>91.14</v>
      </c>
      <c r="G103" s="145"/>
      <c r="H103" s="145"/>
      <c r="I103" s="145"/>
      <c r="J103" s="145"/>
      <c r="K103" s="145">
        <v>37.75</v>
      </c>
      <c r="L103" s="145">
        <v>12.37</v>
      </c>
      <c r="M103" s="145">
        <v>49.89</v>
      </c>
      <c r="N103" s="80"/>
    </row>
    <row r="104" spans="1:14" x14ac:dyDescent="0.3">
      <c r="A104" s="86">
        <v>44765</v>
      </c>
      <c r="B104" s="104">
        <f t="shared" si="0"/>
        <v>66</v>
      </c>
      <c r="C104" s="144">
        <v>6.86</v>
      </c>
      <c r="D104" s="144">
        <v>0.28000000000000003</v>
      </c>
      <c r="E104" s="144">
        <v>1.72</v>
      </c>
      <c r="F104" s="144">
        <v>91.14</v>
      </c>
      <c r="G104" s="145"/>
      <c r="H104" s="145"/>
      <c r="I104" s="145"/>
      <c r="J104" s="145"/>
      <c r="K104" s="145">
        <v>37.75</v>
      </c>
      <c r="L104" s="145">
        <v>12.37</v>
      </c>
      <c r="M104" s="145">
        <v>49.89</v>
      </c>
      <c r="N104" s="80"/>
    </row>
    <row r="105" spans="1:14" x14ac:dyDescent="0.3">
      <c r="A105" s="86">
        <v>44766</v>
      </c>
      <c r="B105" s="104">
        <f t="shared" si="0"/>
        <v>67</v>
      </c>
      <c r="C105" s="144">
        <v>6.86</v>
      </c>
      <c r="D105" s="144">
        <v>0.28000000000000003</v>
      </c>
      <c r="E105" s="144">
        <v>1.72</v>
      </c>
      <c r="F105" s="144">
        <v>91.14</v>
      </c>
      <c r="G105" s="145"/>
      <c r="H105" s="145"/>
      <c r="I105" s="145"/>
      <c r="J105" s="145"/>
      <c r="K105" s="145">
        <v>37.75</v>
      </c>
      <c r="L105" s="145">
        <v>12.37</v>
      </c>
      <c r="M105" s="145">
        <v>49.89</v>
      </c>
      <c r="N105" s="80"/>
    </row>
    <row r="106" spans="1:14" x14ac:dyDescent="0.3">
      <c r="A106" s="105">
        <v>44767</v>
      </c>
      <c r="B106" s="104">
        <f t="shared" ref="B106:B151" si="2">A106-A105+B105</f>
        <v>68</v>
      </c>
      <c r="C106" s="144">
        <v>6.86</v>
      </c>
      <c r="D106" s="144">
        <v>0.28000000000000003</v>
      </c>
      <c r="E106" s="144">
        <v>1.72</v>
      </c>
      <c r="F106" s="144">
        <v>91.14</v>
      </c>
      <c r="G106" s="145"/>
      <c r="H106" s="145"/>
      <c r="I106" s="145"/>
      <c r="J106" s="145"/>
      <c r="K106" s="145">
        <v>37.75</v>
      </c>
      <c r="L106" s="145">
        <v>12.37</v>
      </c>
      <c r="M106" s="145">
        <v>49.89</v>
      </c>
      <c r="N106" s="80"/>
    </row>
    <row r="107" spans="1:14" x14ac:dyDescent="0.3">
      <c r="A107" s="86">
        <v>44768</v>
      </c>
      <c r="B107" s="104">
        <f t="shared" si="2"/>
        <v>69</v>
      </c>
      <c r="C107" s="144"/>
      <c r="D107" s="144"/>
      <c r="E107" s="144"/>
      <c r="F107" s="144"/>
      <c r="G107" s="145"/>
      <c r="H107" s="145"/>
      <c r="I107" s="145"/>
      <c r="J107" s="145"/>
      <c r="K107" s="145"/>
      <c r="L107" s="145"/>
      <c r="M107" s="145"/>
      <c r="N107" s="80"/>
    </row>
    <row r="108" spans="1:14" x14ac:dyDescent="0.3">
      <c r="A108" s="86">
        <v>44769</v>
      </c>
      <c r="B108" s="104">
        <f t="shared" si="2"/>
        <v>70</v>
      </c>
      <c r="C108" s="144"/>
      <c r="D108" s="144"/>
      <c r="E108" s="144"/>
      <c r="F108" s="144"/>
      <c r="G108" s="145"/>
      <c r="H108" s="145"/>
      <c r="I108" s="145"/>
      <c r="J108" s="145"/>
      <c r="K108" s="145"/>
      <c r="L108" s="145"/>
      <c r="M108" s="145"/>
      <c r="N108" s="80"/>
    </row>
    <row r="109" spans="1:14" x14ac:dyDescent="0.3">
      <c r="A109" s="86">
        <v>44770</v>
      </c>
      <c r="B109" s="104">
        <f t="shared" si="2"/>
        <v>71</v>
      </c>
      <c r="C109" s="144"/>
      <c r="D109" s="144"/>
      <c r="E109" s="144"/>
      <c r="F109" s="144"/>
      <c r="G109" s="145"/>
      <c r="H109" s="145"/>
      <c r="I109" s="145"/>
      <c r="J109" s="145"/>
      <c r="K109" s="145"/>
      <c r="L109" s="145"/>
      <c r="M109" s="145"/>
      <c r="N109" s="80"/>
    </row>
    <row r="110" spans="1:14" x14ac:dyDescent="0.3">
      <c r="A110" s="86">
        <v>44771</v>
      </c>
      <c r="B110" s="104">
        <f t="shared" si="2"/>
        <v>72</v>
      </c>
      <c r="C110" s="144">
        <v>8.99</v>
      </c>
      <c r="D110" s="144">
        <v>0.42</v>
      </c>
      <c r="E110" s="144">
        <v>1.51</v>
      </c>
      <c r="F110" s="144">
        <v>89.09</v>
      </c>
      <c r="G110" s="145"/>
      <c r="H110" s="145"/>
      <c r="I110" s="145"/>
      <c r="J110" s="145"/>
      <c r="K110" s="145">
        <v>47.54</v>
      </c>
      <c r="L110" s="145">
        <v>9.2100000000000009</v>
      </c>
      <c r="M110" s="145">
        <v>43.25</v>
      </c>
      <c r="N110" s="80"/>
    </row>
    <row r="111" spans="1:14" x14ac:dyDescent="0.3">
      <c r="A111" s="86">
        <v>44772</v>
      </c>
      <c r="B111" s="104">
        <f t="shared" si="2"/>
        <v>73</v>
      </c>
      <c r="C111" s="144">
        <v>8.99</v>
      </c>
      <c r="D111" s="144">
        <v>0.42</v>
      </c>
      <c r="E111" s="144">
        <v>1.51</v>
      </c>
      <c r="F111" s="144">
        <v>89.09</v>
      </c>
      <c r="G111" s="145"/>
      <c r="H111" s="145"/>
      <c r="I111" s="145"/>
      <c r="J111" s="145"/>
      <c r="K111" s="145">
        <v>47.54</v>
      </c>
      <c r="L111" s="145">
        <v>9.2100000000000009</v>
      </c>
      <c r="M111" s="145">
        <v>43.25</v>
      </c>
      <c r="N111" s="80"/>
    </row>
    <row r="112" spans="1:14" x14ac:dyDescent="0.3">
      <c r="A112" s="86">
        <v>44773</v>
      </c>
      <c r="B112" s="104">
        <f t="shared" si="2"/>
        <v>74</v>
      </c>
      <c r="C112" s="144">
        <v>8.99</v>
      </c>
      <c r="D112" s="144">
        <v>0.42</v>
      </c>
      <c r="E112" s="144">
        <v>1.51</v>
      </c>
      <c r="F112" s="144">
        <v>89.09</v>
      </c>
      <c r="G112" s="145"/>
      <c r="H112" s="145"/>
      <c r="I112" s="145"/>
      <c r="J112" s="145"/>
      <c r="K112" s="145">
        <v>47.54</v>
      </c>
      <c r="L112" s="145">
        <v>9.2100000000000009</v>
      </c>
      <c r="M112" s="145">
        <v>43.25</v>
      </c>
      <c r="N112" s="80"/>
    </row>
    <row r="113" spans="1:14" x14ac:dyDescent="0.3">
      <c r="A113" s="86">
        <v>44774</v>
      </c>
      <c r="B113" s="104">
        <f t="shared" si="2"/>
        <v>75</v>
      </c>
      <c r="C113" s="144">
        <v>8.99</v>
      </c>
      <c r="D113" s="144">
        <v>0.42</v>
      </c>
      <c r="E113" s="144">
        <v>1.51</v>
      </c>
      <c r="F113" s="144">
        <v>89.09</v>
      </c>
      <c r="G113" s="145"/>
      <c r="H113" s="145"/>
      <c r="I113" s="145"/>
      <c r="J113" s="145"/>
      <c r="K113" s="145">
        <v>47.54</v>
      </c>
      <c r="L113" s="145">
        <v>9.2100000000000009</v>
      </c>
      <c r="M113" s="145">
        <v>43.25</v>
      </c>
      <c r="N113" s="80"/>
    </row>
    <row r="114" spans="1:14" x14ac:dyDescent="0.3">
      <c r="A114" s="86">
        <v>44775</v>
      </c>
      <c r="B114" s="104">
        <f t="shared" si="2"/>
        <v>76</v>
      </c>
      <c r="C114" s="144">
        <v>8.11</v>
      </c>
      <c r="D114" s="144">
        <v>0.09</v>
      </c>
      <c r="E114" s="144">
        <v>1.51</v>
      </c>
      <c r="F114" s="144">
        <v>90.29</v>
      </c>
      <c r="G114" s="145"/>
      <c r="H114" s="145"/>
      <c r="I114" s="145"/>
      <c r="J114" s="145"/>
      <c r="K114" s="145">
        <v>51.34</v>
      </c>
      <c r="L114" s="145">
        <v>8.9</v>
      </c>
      <c r="M114" s="145">
        <v>39.76</v>
      </c>
      <c r="N114" s="80"/>
    </row>
    <row r="115" spans="1:14" x14ac:dyDescent="0.3">
      <c r="A115" s="86">
        <v>44776</v>
      </c>
      <c r="B115" s="104">
        <f t="shared" si="2"/>
        <v>77</v>
      </c>
      <c r="C115" s="144">
        <v>8.11</v>
      </c>
      <c r="D115" s="144">
        <v>0.09</v>
      </c>
      <c r="E115" s="144">
        <v>1.51</v>
      </c>
      <c r="F115" s="144">
        <v>90.29</v>
      </c>
      <c r="G115" s="145"/>
      <c r="H115" s="145"/>
      <c r="I115" s="145"/>
      <c r="J115" s="145"/>
      <c r="K115" s="145">
        <v>51.34</v>
      </c>
      <c r="L115" s="145">
        <v>8.9</v>
      </c>
      <c r="M115" s="145">
        <v>39.76</v>
      </c>
      <c r="N115" s="80"/>
    </row>
    <row r="116" spans="1:14" x14ac:dyDescent="0.3">
      <c r="A116" s="86">
        <v>44777</v>
      </c>
      <c r="B116" s="104">
        <f t="shared" si="2"/>
        <v>78</v>
      </c>
      <c r="C116" s="144">
        <v>8.11</v>
      </c>
      <c r="D116" s="144">
        <v>0.09</v>
      </c>
      <c r="E116" s="144">
        <v>1.51</v>
      </c>
      <c r="F116" s="144">
        <v>90.29</v>
      </c>
      <c r="G116" s="145"/>
      <c r="H116" s="145"/>
      <c r="I116" s="145"/>
      <c r="J116" s="145"/>
      <c r="K116" s="145">
        <v>51.34</v>
      </c>
      <c r="L116" s="145">
        <v>8.9</v>
      </c>
      <c r="M116" s="145">
        <v>39.76</v>
      </c>
      <c r="N116" s="80"/>
    </row>
    <row r="117" spans="1:14" x14ac:dyDescent="0.3">
      <c r="A117" s="86">
        <v>44778</v>
      </c>
      <c r="B117" s="104">
        <f>A117-A115+B115</f>
        <v>79</v>
      </c>
      <c r="C117" s="144">
        <v>9.34</v>
      </c>
      <c r="D117" s="144">
        <v>0.09</v>
      </c>
      <c r="E117" s="144">
        <v>1.5</v>
      </c>
      <c r="F117" s="144">
        <v>89.08</v>
      </c>
      <c r="G117" s="145"/>
      <c r="H117" s="145"/>
      <c r="I117" s="145"/>
      <c r="J117" s="145"/>
      <c r="K117" s="145">
        <v>52.91</v>
      </c>
      <c r="L117" s="145">
        <v>8.01</v>
      </c>
      <c r="M117" s="145">
        <v>39.08</v>
      </c>
      <c r="N117" s="80"/>
    </row>
    <row r="118" spans="1:14" x14ac:dyDescent="0.3">
      <c r="A118" s="86">
        <v>44779</v>
      </c>
      <c r="B118" s="104">
        <f t="shared" ref="B118:B119" si="3">A118-A116+B116</f>
        <v>80</v>
      </c>
      <c r="C118" s="144">
        <v>9.34</v>
      </c>
      <c r="D118" s="144">
        <v>0.09</v>
      </c>
      <c r="E118" s="144">
        <v>1.5</v>
      </c>
      <c r="F118" s="144">
        <v>89.08</v>
      </c>
      <c r="G118" s="145"/>
      <c r="H118" s="145"/>
      <c r="I118" s="145"/>
      <c r="J118" s="145"/>
      <c r="K118" s="145">
        <v>52.91</v>
      </c>
      <c r="L118" s="145">
        <v>8.01</v>
      </c>
      <c r="M118" s="145">
        <v>39.08</v>
      </c>
      <c r="N118" s="80"/>
    </row>
    <row r="119" spans="1:14" x14ac:dyDescent="0.3">
      <c r="A119" s="86">
        <v>44780</v>
      </c>
      <c r="B119" s="104">
        <f t="shared" si="3"/>
        <v>81</v>
      </c>
      <c r="C119" s="144">
        <v>9.34</v>
      </c>
      <c r="D119" s="144">
        <v>0.09</v>
      </c>
      <c r="E119" s="144">
        <v>1.5</v>
      </c>
      <c r="F119" s="144">
        <v>89.08</v>
      </c>
      <c r="G119" s="145"/>
      <c r="H119" s="145"/>
      <c r="I119" s="145"/>
      <c r="J119" s="145"/>
      <c r="K119" s="145">
        <v>52.91</v>
      </c>
      <c r="L119" s="145">
        <v>8.01</v>
      </c>
      <c r="M119" s="145">
        <v>39.08</v>
      </c>
      <c r="N119" s="80"/>
    </row>
    <row r="120" spans="1:14" x14ac:dyDescent="0.3">
      <c r="A120" s="86">
        <v>44781</v>
      </c>
      <c r="B120" s="104">
        <f>A120-A117+B117</f>
        <v>82</v>
      </c>
      <c r="C120" s="144">
        <v>9.34</v>
      </c>
      <c r="D120" s="144">
        <v>0.09</v>
      </c>
      <c r="E120" s="144">
        <v>1.5</v>
      </c>
      <c r="F120" s="144">
        <v>89.08</v>
      </c>
      <c r="G120" s="145"/>
      <c r="H120" s="145"/>
      <c r="I120" s="145"/>
      <c r="J120" s="145"/>
      <c r="K120" s="145">
        <v>52.91</v>
      </c>
      <c r="L120" s="145">
        <v>8.01</v>
      </c>
      <c r="M120" s="145">
        <v>39.08</v>
      </c>
      <c r="N120" s="80"/>
    </row>
    <row r="121" spans="1:14" x14ac:dyDescent="0.3">
      <c r="A121" s="86">
        <v>44782</v>
      </c>
      <c r="B121" s="104">
        <f>A121-A118+B118</f>
        <v>83</v>
      </c>
      <c r="C121" s="144">
        <v>9.34</v>
      </c>
      <c r="D121" s="144">
        <v>0.09</v>
      </c>
      <c r="E121" s="144">
        <v>1.5</v>
      </c>
      <c r="F121" s="144">
        <v>89.08</v>
      </c>
      <c r="G121" s="145"/>
      <c r="H121" s="145"/>
      <c r="I121" s="145"/>
      <c r="J121" s="145"/>
      <c r="K121" s="145">
        <v>52.91</v>
      </c>
      <c r="L121" s="145">
        <v>8.01</v>
      </c>
      <c r="M121" s="145">
        <v>39.08</v>
      </c>
      <c r="N121" s="80"/>
    </row>
    <row r="122" spans="1:14" x14ac:dyDescent="0.3">
      <c r="A122" s="86">
        <v>44783</v>
      </c>
      <c r="B122" s="104">
        <f>A122-A120+B120</f>
        <v>84</v>
      </c>
      <c r="C122" s="144">
        <v>9.34</v>
      </c>
      <c r="D122" s="144">
        <v>0.09</v>
      </c>
      <c r="E122" s="144">
        <v>1.5</v>
      </c>
      <c r="F122" s="144">
        <v>89.08</v>
      </c>
      <c r="G122" s="145"/>
      <c r="H122" s="145"/>
      <c r="I122" s="145"/>
      <c r="J122" s="145"/>
      <c r="K122" s="145">
        <v>52.91</v>
      </c>
      <c r="L122" s="145">
        <v>8.01</v>
      </c>
      <c r="M122" s="145">
        <v>39.08</v>
      </c>
      <c r="N122" s="80"/>
    </row>
    <row r="123" spans="1:14" x14ac:dyDescent="0.3">
      <c r="A123" s="86">
        <v>44784</v>
      </c>
      <c r="B123" s="104">
        <f>A123-A121+B121</f>
        <v>85</v>
      </c>
      <c r="C123" s="144">
        <v>9.34</v>
      </c>
      <c r="D123" s="144">
        <v>0.09</v>
      </c>
      <c r="E123" s="144">
        <v>1.5</v>
      </c>
      <c r="F123" s="144">
        <v>89.08</v>
      </c>
      <c r="G123" s="145"/>
      <c r="H123" s="145"/>
      <c r="I123" s="145"/>
      <c r="J123" s="145"/>
      <c r="K123" s="145">
        <v>52.91</v>
      </c>
      <c r="L123" s="145">
        <v>8.01</v>
      </c>
      <c r="M123" s="145">
        <v>39.08</v>
      </c>
      <c r="N123" s="80"/>
    </row>
    <row r="124" spans="1:14" x14ac:dyDescent="0.3">
      <c r="A124" s="86">
        <v>44785</v>
      </c>
      <c r="B124" s="104">
        <f>A124-A122+B122</f>
        <v>86</v>
      </c>
      <c r="C124" s="144">
        <v>9.34</v>
      </c>
      <c r="D124" s="144">
        <v>0.09</v>
      </c>
      <c r="E124" s="144">
        <v>1.5</v>
      </c>
      <c r="F124" s="144">
        <v>89.08</v>
      </c>
      <c r="G124" s="145"/>
      <c r="H124" s="145"/>
      <c r="I124" s="145"/>
      <c r="J124" s="145"/>
      <c r="K124" s="145">
        <v>52.91</v>
      </c>
      <c r="L124" s="145">
        <v>8.01</v>
      </c>
      <c r="M124" s="145">
        <v>39.08</v>
      </c>
      <c r="N124" s="80"/>
    </row>
    <row r="125" spans="1:14" x14ac:dyDescent="0.3">
      <c r="A125" s="86">
        <v>44786</v>
      </c>
      <c r="B125" s="104">
        <f t="shared" ref="B125:B126" si="4">A125-A123+B123</f>
        <v>87</v>
      </c>
      <c r="C125" s="144">
        <v>9.34</v>
      </c>
      <c r="D125" s="144">
        <v>0.09</v>
      </c>
      <c r="E125" s="144">
        <v>1.5</v>
      </c>
      <c r="F125" s="144">
        <v>89.08</v>
      </c>
      <c r="G125" s="145"/>
      <c r="H125" s="145"/>
      <c r="I125" s="145"/>
      <c r="J125" s="145"/>
      <c r="K125" s="145">
        <v>52.91</v>
      </c>
      <c r="L125" s="145">
        <v>8.01</v>
      </c>
      <c r="M125" s="145">
        <v>39.08</v>
      </c>
      <c r="N125" s="80"/>
    </row>
    <row r="126" spans="1:14" x14ac:dyDescent="0.3">
      <c r="A126" s="86">
        <v>44787</v>
      </c>
      <c r="B126" s="104">
        <f t="shared" si="4"/>
        <v>88</v>
      </c>
      <c r="C126" s="144">
        <v>9.34</v>
      </c>
      <c r="D126" s="144">
        <v>0.09</v>
      </c>
      <c r="E126" s="144">
        <v>1.5</v>
      </c>
      <c r="F126" s="144">
        <v>89.08</v>
      </c>
      <c r="G126" s="145"/>
      <c r="H126" s="145"/>
      <c r="I126" s="145"/>
      <c r="J126" s="145"/>
      <c r="K126" s="145">
        <v>52.91</v>
      </c>
      <c r="L126" s="145">
        <v>8.01</v>
      </c>
      <c r="M126" s="145">
        <v>39.08</v>
      </c>
      <c r="N126" s="80"/>
    </row>
    <row r="127" spans="1:14" x14ac:dyDescent="0.3">
      <c r="A127" s="86">
        <v>44788</v>
      </c>
      <c r="B127" s="104">
        <f>A127-A124+B124</f>
        <v>89</v>
      </c>
      <c r="C127" s="144">
        <v>9.34</v>
      </c>
      <c r="D127" s="144">
        <v>0.09</v>
      </c>
      <c r="E127" s="144">
        <v>1.5</v>
      </c>
      <c r="F127" s="144">
        <v>89.08</v>
      </c>
      <c r="G127" s="145"/>
      <c r="H127" s="145"/>
      <c r="I127" s="145"/>
      <c r="J127" s="145"/>
      <c r="K127" s="145">
        <v>52.91</v>
      </c>
      <c r="L127" s="145">
        <v>8.01</v>
      </c>
      <c r="M127" s="145">
        <v>39.08</v>
      </c>
      <c r="N127" s="80"/>
    </row>
    <row r="128" spans="1:14" x14ac:dyDescent="0.3">
      <c r="A128" s="86">
        <v>44789</v>
      </c>
      <c r="B128" s="104">
        <f>A128-A125+B125</f>
        <v>90</v>
      </c>
      <c r="C128" s="144">
        <v>9.34</v>
      </c>
      <c r="D128" s="144">
        <v>0.09</v>
      </c>
      <c r="E128" s="144">
        <v>1.5</v>
      </c>
      <c r="F128" s="144">
        <v>89.08</v>
      </c>
      <c r="G128" s="145"/>
      <c r="H128" s="145"/>
      <c r="I128" s="145"/>
      <c r="J128" s="145"/>
      <c r="K128" s="145">
        <v>52.91</v>
      </c>
      <c r="L128" s="145">
        <v>8.01</v>
      </c>
      <c r="M128" s="145">
        <v>39.08</v>
      </c>
      <c r="N128" s="80"/>
    </row>
    <row r="129" spans="1:14" x14ac:dyDescent="0.3">
      <c r="A129" s="86">
        <v>44790</v>
      </c>
      <c r="B129" s="104">
        <f>A129-A127+B127</f>
        <v>91</v>
      </c>
      <c r="C129" s="144">
        <v>9.34</v>
      </c>
      <c r="D129" s="144">
        <v>0.09</v>
      </c>
      <c r="E129" s="144">
        <v>1.5</v>
      </c>
      <c r="F129" s="144">
        <v>89.08</v>
      </c>
      <c r="G129" s="145"/>
      <c r="H129" s="145"/>
      <c r="I129" s="145"/>
      <c r="J129" s="145"/>
      <c r="K129" s="145">
        <v>52.91</v>
      </c>
      <c r="L129" s="145">
        <v>8.01</v>
      </c>
      <c r="M129" s="145">
        <v>39.08</v>
      </c>
      <c r="N129" s="80"/>
    </row>
    <row r="130" spans="1:14" x14ac:dyDescent="0.3">
      <c r="A130" s="86">
        <v>44791</v>
      </c>
      <c r="B130" s="104">
        <f t="shared" ref="B130:B133" si="5">A130-A128+B128</f>
        <v>92</v>
      </c>
      <c r="C130" s="144">
        <v>9.34</v>
      </c>
      <c r="D130" s="144">
        <v>0.09</v>
      </c>
      <c r="E130" s="144">
        <v>1.5</v>
      </c>
      <c r="F130" s="144">
        <v>89.08</v>
      </c>
      <c r="G130" s="145"/>
      <c r="H130" s="145"/>
      <c r="I130" s="145"/>
      <c r="J130" s="145"/>
      <c r="K130" s="145">
        <v>52.91</v>
      </c>
      <c r="L130" s="145">
        <v>8.01</v>
      </c>
      <c r="M130" s="145">
        <v>39.08</v>
      </c>
      <c r="N130" s="80"/>
    </row>
    <row r="131" spans="1:14" x14ac:dyDescent="0.3">
      <c r="A131" s="86">
        <v>44792</v>
      </c>
      <c r="B131" s="104">
        <f t="shared" si="5"/>
        <v>93</v>
      </c>
      <c r="C131" s="144">
        <v>9.34</v>
      </c>
      <c r="D131" s="144">
        <v>0.09</v>
      </c>
      <c r="E131" s="144">
        <v>1.5</v>
      </c>
      <c r="F131" s="144">
        <v>89.08</v>
      </c>
      <c r="G131" s="145"/>
      <c r="H131" s="145"/>
      <c r="I131" s="145"/>
      <c r="J131" s="145"/>
      <c r="K131" s="145">
        <v>52.91</v>
      </c>
      <c r="L131" s="145">
        <v>8.01</v>
      </c>
      <c r="M131" s="145">
        <v>39.08</v>
      </c>
      <c r="N131" s="80"/>
    </row>
    <row r="132" spans="1:14" x14ac:dyDescent="0.3">
      <c r="A132" s="86">
        <v>44793</v>
      </c>
      <c r="B132" s="104">
        <f t="shared" si="5"/>
        <v>94</v>
      </c>
      <c r="C132" s="144">
        <v>9.34</v>
      </c>
      <c r="D132" s="144">
        <v>0.09</v>
      </c>
      <c r="E132" s="144">
        <v>1.5</v>
      </c>
      <c r="F132" s="144">
        <v>89.08</v>
      </c>
      <c r="G132" s="145"/>
      <c r="H132" s="145"/>
      <c r="I132" s="145"/>
      <c r="J132" s="145"/>
      <c r="K132" s="145">
        <v>52.91</v>
      </c>
      <c r="L132" s="145">
        <v>8.01</v>
      </c>
      <c r="M132" s="145">
        <v>39.08</v>
      </c>
      <c r="N132" s="80"/>
    </row>
    <row r="133" spans="1:14" x14ac:dyDescent="0.3">
      <c r="A133" s="86">
        <v>44794</v>
      </c>
      <c r="B133" s="104">
        <f t="shared" si="5"/>
        <v>95</v>
      </c>
      <c r="C133" s="144">
        <v>9.34</v>
      </c>
      <c r="D133" s="144">
        <v>0.09</v>
      </c>
      <c r="E133" s="144">
        <v>1.5</v>
      </c>
      <c r="F133" s="144">
        <v>89.08</v>
      </c>
      <c r="G133" s="145"/>
      <c r="H133" s="145"/>
      <c r="I133" s="145"/>
      <c r="J133" s="145"/>
      <c r="K133" s="145">
        <v>52.91</v>
      </c>
      <c r="L133" s="145">
        <v>8.01</v>
      </c>
      <c r="M133" s="145">
        <v>39.08</v>
      </c>
      <c r="N133" s="80"/>
    </row>
    <row r="134" spans="1:14" x14ac:dyDescent="0.3">
      <c r="A134" s="86">
        <v>44795</v>
      </c>
      <c r="B134" s="104">
        <f>A134-A129+B129</f>
        <v>96</v>
      </c>
      <c r="C134" s="144">
        <v>7.1</v>
      </c>
      <c r="D134" s="144">
        <v>0.08</v>
      </c>
      <c r="E134" s="144">
        <v>1.2</v>
      </c>
      <c r="F134" s="144">
        <v>91.62</v>
      </c>
      <c r="G134" s="145"/>
      <c r="H134" s="145"/>
      <c r="I134" s="145"/>
      <c r="J134" s="145"/>
      <c r="K134" s="145">
        <v>34.39</v>
      </c>
      <c r="L134" s="145">
        <v>12.96</v>
      </c>
      <c r="M134" s="145">
        <v>52.65</v>
      </c>
      <c r="N134" s="80"/>
    </row>
    <row r="135" spans="1:14" x14ac:dyDescent="0.3">
      <c r="A135" s="86">
        <v>44796</v>
      </c>
      <c r="B135" s="104">
        <f t="shared" si="2"/>
        <v>97</v>
      </c>
      <c r="C135" s="144">
        <v>7.1</v>
      </c>
      <c r="D135" s="144">
        <v>0.08</v>
      </c>
      <c r="E135" s="144">
        <v>1.2</v>
      </c>
      <c r="F135" s="144">
        <v>91.62</v>
      </c>
      <c r="G135" s="145"/>
      <c r="H135" s="145"/>
      <c r="I135" s="145"/>
      <c r="J135" s="145"/>
      <c r="K135" s="145">
        <v>34.39</v>
      </c>
      <c r="L135" s="145">
        <v>12.96</v>
      </c>
      <c r="M135" s="145">
        <v>52.65</v>
      </c>
    </row>
    <row r="136" spans="1:14" x14ac:dyDescent="0.3">
      <c r="A136" s="86">
        <v>44797</v>
      </c>
      <c r="B136" s="104">
        <f t="shared" si="2"/>
        <v>98</v>
      </c>
      <c r="C136" s="144">
        <v>5.04</v>
      </c>
      <c r="D136" s="144">
        <v>0.1</v>
      </c>
      <c r="E136" s="144">
        <v>1.0900000000000001</v>
      </c>
      <c r="F136" s="144">
        <v>93.78</v>
      </c>
      <c r="G136" s="145"/>
      <c r="H136" s="145"/>
      <c r="I136" s="145"/>
      <c r="J136" s="145"/>
      <c r="K136" s="145">
        <v>24.65</v>
      </c>
      <c r="L136" s="145">
        <v>16.21</v>
      </c>
      <c r="M136" s="145">
        <v>59.14</v>
      </c>
    </row>
    <row r="137" spans="1:14" x14ac:dyDescent="0.3">
      <c r="A137" s="86">
        <v>44798</v>
      </c>
      <c r="B137" s="104">
        <f t="shared" si="2"/>
        <v>99</v>
      </c>
      <c r="C137" s="144">
        <v>16.09</v>
      </c>
      <c r="D137" s="144">
        <v>0.1</v>
      </c>
      <c r="E137" s="144">
        <v>1.06</v>
      </c>
      <c r="F137" s="144">
        <v>82.75</v>
      </c>
      <c r="G137" s="145"/>
      <c r="H137" s="145"/>
      <c r="I137" s="145"/>
      <c r="J137" s="145"/>
      <c r="K137" s="145">
        <v>55.59</v>
      </c>
      <c r="L137" s="145">
        <v>8.6999999999999993</v>
      </c>
      <c r="M137" s="145">
        <v>35.71</v>
      </c>
    </row>
    <row r="138" spans="1:14" x14ac:dyDescent="0.3">
      <c r="A138" s="86">
        <v>44799</v>
      </c>
      <c r="B138" s="104">
        <f t="shared" si="2"/>
        <v>100</v>
      </c>
      <c r="C138" s="144">
        <v>38.31</v>
      </c>
      <c r="D138" s="144">
        <v>0.15</v>
      </c>
      <c r="E138" s="144">
        <v>1.1599999999999999</v>
      </c>
      <c r="F138" s="144">
        <v>60.39</v>
      </c>
      <c r="G138" s="145"/>
      <c r="H138" s="145"/>
      <c r="I138" s="145">
        <v>1.1599999999999999</v>
      </c>
      <c r="J138" s="145"/>
      <c r="K138" s="145">
        <v>87.27</v>
      </c>
      <c r="L138" s="145">
        <v>2.17</v>
      </c>
      <c r="M138" s="145">
        <v>9.4</v>
      </c>
    </row>
    <row r="139" spans="1:14" x14ac:dyDescent="0.3">
      <c r="A139" s="86">
        <v>44800</v>
      </c>
      <c r="B139" s="104">
        <f t="shared" si="2"/>
        <v>101</v>
      </c>
      <c r="C139" s="144">
        <v>38.31</v>
      </c>
      <c r="D139" s="144">
        <v>0.15</v>
      </c>
      <c r="E139" s="144">
        <v>1.1599999999999999</v>
      </c>
      <c r="F139" s="144">
        <v>60.39</v>
      </c>
      <c r="G139" s="145"/>
      <c r="H139" s="145"/>
      <c r="I139" s="145">
        <v>1.1599999999999999</v>
      </c>
      <c r="J139" s="145"/>
      <c r="K139" s="145">
        <v>87.27</v>
      </c>
      <c r="L139" s="145">
        <v>2.17</v>
      </c>
      <c r="M139" s="145">
        <v>9.4</v>
      </c>
    </row>
    <row r="140" spans="1:14" x14ac:dyDescent="0.3">
      <c r="A140" s="86">
        <v>44801</v>
      </c>
      <c r="B140" s="104">
        <f t="shared" si="2"/>
        <v>102</v>
      </c>
      <c r="C140" s="144">
        <v>38.31</v>
      </c>
      <c r="D140" s="144">
        <v>0.15</v>
      </c>
      <c r="E140" s="144">
        <v>1.1599999999999999</v>
      </c>
      <c r="F140" s="144">
        <v>60.39</v>
      </c>
      <c r="G140" s="145"/>
      <c r="H140" s="145"/>
      <c r="I140" s="145">
        <v>1.1599999999999999</v>
      </c>
      <c r="J140" s="145"/>
      <c r="K140" s="145">
        <v>87.27</v>
      </c>
      <c r="L140" s="145">
        <v>2.17</v>
      </c>
      <c r="M140" s="145">
        <v>9.4</v>
      </c>
    </row>
    <row r="141" spans="1:14" x14ac:dyDescent="0.3">
      <c r="A141" s="86">
        <v>44802</v>
      </c>
      <c r="B141" s="104">
        <f t="shared" si="2"/>
        <v>103</v>
      </c>
      <c r="C141" s="144">
        <v>38.64</v>
      </c>
      <c r="D141" s="144">
        <v>0.17</v>
      </c>
      <c r="E141" s="144">
        <v>1.23</v>
      </c>
      <c r="F141" s="144">
        <v>59.96</v>
      </c>
      <c r="G141" s="145"/>
      <c r="H141" s="145"/>
      <c r="I141" s="145">
        <v>1.23</v>
      </c>
      <c r="J141" s="145"/>
      <c r="K141" s="145">
        <v>88.87</v>
      </c>
      <c r="L141" s="145">
        <v>1.81</v>
      </c>
      <c r="M141" s="145">
        <v>8.09</v>
      </c>
    </row>
    <row r="142" spans="1:14" x14ac:dyDescent="0.3">
      <c r="A142" s="86">
        <v>44803</v>
      </c>
      <c r="B142" s="104">
        <f t="shared" si="2"/>
        <v>104</v>
      </c>
      <c r="C142" s="144">
        <v>38.64</v>
      </c>
      <c r="D142" s="144">
        <v>0.17</v>
      </c>
      <c r="E142" s="144">
        <v>1.23</v>
      </c>
      <c r="F142" s="144">
        <v>59.96</v>
      </c>
      <c r="G142" s="145"/>
      <c r="H142" s="145"/>
      <c r="I142" s="145">
        <v>1.23</v>
      </c>
      <c r="J142" s="145"/>
      <c r="K142" s="145">
        <v>88.87</v>
      </c>
      <c r="L142" s="145">
        <v>1.81</v>
      </c>
      <c r="M142" s="145">
        <v>8.09</v>
      </c>
    </row>
    <row r="143" spans="1:14" x14ac:dyDescent="0.3">
      <c r="A143" s="86">
        <v>44804</v>
      </c>
      <c r="B143" s="104">
        <f t="shared" si="2"/>
        <v>105</v>
      </c>
      <c r="C143" s="144">
        <v>38.64</v>
      </c>
      <c r="D143" s="144">
        <v>0.17</v>
      </c>
      <c r="E143" s="144">
        <v>1.23</v>
      </c>
      <c r="F143" s="144">
        <v>59.96</v>
      </c>
      <c r="G143" s="145"/>
      <c r="H143" s="145"/>
      <c r="I143" s="145">
        <v>1.23</v>
      </c>
      <c r="J143" s="145"/>
      <c r="K143" s="145">
        <v>88.87</v>
      </c>
      <c r="L143" s="145">
        <v>1.81</v>
      </c>
      <c r="M143" s="145">
        <v>8.09</v>
      </c>
    </row>
    <row r="144" spans="1:14" x14ac:dyDescent="0.3">
      <c r="A144" s="86">
        <v>44805</v>
      </c>
      <c r="B144" s="104">
        <f t="shared" si="2"/>
        <v>106</v>
      </c>
      <c r="C144" s="144">
        <v>38.64</v>
      </c>
      <c r="D144" s="144">
        <v>0.17</v>
      </c>
      <c r="E144" s="144">
        <v>1.23</v>
      </c>
      <c r="F144" s="144">
        <v>59.96</v>
      </c>
      <c r="G144" s="145"/>
      <c r="H144" s="145"/>
      <c r="I144" s="145">
        <v>1.23</v>
      </c>
      <c r="J144" s="145"/>
      <c r="K144" s="145">
        <v>88.87</v>
      </c>
      <c r="L144" s="145">
        <v>1.81</v>
      </c>
      <c r="M144" s="145">
        <v>8.09</v>
      </c>
    </row>
    <row r="145" spans="1:13" x14ac:dyDescent="0.3">
      <c r="A145" s="86">
        <v>44806</v>
      </c>
      <c r="B145" s="104">
        <f t="shared" si="2"/>
        <v>107</v>
      </c>
      <c r="C145" s="144"/>
      <c r="D145" s="144"/>
      <c r="E145" s="144"/>
      <c r="F145" s="144"/>
      <c r="G145" s="145"/>
      <c r="H145" s="145"/>
      <c r="I145" s="145"/>
      <c r="J145" s="145"/>
      <c r="K145" s="145"/>
      <c r="L145" s="145"/>
      <c r="M145" s="145"/>
    </row>
    <row r="146" spans="1:13" x14ac:dyDescent="0.3">
      <c r="A146" s="86">
        <v>44807</v>
      </c>
      <c r="B146" s="104">
        <f t="shared" si="2"/>
        <v>108</v>
      </c>
      <c r="C146" s="144"/>
      <c r="D146" s="144"/>
      <c r="E146" s="144"/>
      <c r="F146" s="144"/>
      <c r="G146" s="145"/>
      <c r="H146" s="145"/>
      <c r="I146" s="145"/>
      <c r="J146" s="145"/>
      <c r="K146" s="145"/>
      <c r="L146" s="145"/>
      <c r="M146" s="145"/>
    </row>
    <row r="147" spans="1:13" x14ac:dyDescent="0.3">
      <c r="A147" s="86">
        <v>44808</v>
      </c>
      <c r="B147" s="104">
        <f t="shared" si="2"/>
        <v>109</v>
      </c>
      <c r="C147" s="144"/>
      <c r="D147" s="144"/>
      <c r="E147" s="144"/>
      <c r="F147" s="144"/>
      <c r="G147" s="145"/>
      <c r="H147" s="145"/>
      <c r="I147" s="145"/>
      <c r="J147" s="145"/>
      <c r="K147" s="145"/>
      <c r="L147" s="145"/>
      <c r="M147" s="145"/>
    </row>
    <row r="148" spans="1:13" x14ac:dyDescent="0.3">
      <c r="A148" s="86">
        <v>44809</v>
      </c>
      <c r="B148" s="104">
        <f t="shared" si="2"/>
        <v>110</v>
      </c>
      <c r="C148" s="144">
        <v>28.84</v>
      </c>
      <c r="D148" s="144">
        <v>0.1</v>
      </c>
      <c r="E148" s="144">
        <v>1.01</v>
      </c>
      <c r="F148" s="144">
        <v>70.05</v>
      </c>
      <c r="G148" s="145"/>
      <c r="H148" s="145"/>
      <c r="I148" s="145"/>
      <c r="J148" s="145"/>
      <c r="K148" s="145">
        <v>76.709999999999994</v>
      </c>
      <c r="L148" s="145">
        <v>5.54</v>
      </c>
      <c r="M148" s="145">
        <v>17.739999999999998</v>
      </c>
    </row>
    <row r="149" spans="1:13" x14ac:dyDescent="0.3">
      <c r="A149" s="86">
        <v>44810</v>
      </c>
      <c r="B149" s="104">
        <f t="shared" si="2"/>
        <v>111</v>
      </c>
      <c r="C149" s="144">
        <v>28.84</v>
      </c>
      <c r="D149" s="144">
        <v>0.1</v>
      </c>
      <c r="E149" s="144">
        <v>1.01</v>
      </c>
      <c r="F149" s="144">
        <v>70.05</v>
      </c>
      <c r="G149" s="145"/>
      <c r="H149" s="145"/>
      <c r="I149" s="145"/>
      <c r="J149" s="145"/>
      <c r="K149" s="145">
        <v>76.709999999999994</v>
      </c>
      <c r="L149" s="145">
        <v>5.54</v>
      </c>
      <c r="M149" s="145">
        <v>17.739999999999998</v>
      </c>
    </row>
    <row r="150" spans="1:13" x14ac:dyDescent="0.3">
      <c r="A150" s="86">
        <v>44811</v>
      </c>
      <c r="B150" s="104">
        <f t="shared" si="2"/>
        <v>112</v>
      </c>
      <c r="C150" s="144">
        <v>28.84</v>
      </c>
      <c r="D150" s="144">
        <v>0.1</v>
      </c>
      <c r="E150" s="144">
        <v>1.01</v>
      </c>
      <c r="F150" s="144">
        <v>70.05</v>
      </c>
      <c r="G150" s="145"/>
      <c r="H150" s="145"/>
      <c r="I150" s="145"/>
      <c r="J150" s="145"/>
      <c r="K150" s="145">
        <v>76.709999999999994</v>
      </c>
      <c r="L150" s="145">
        <v>5.54</v>
      </c>
      <c r="M150" s="145">
        <v>17.739999999999998</v>
      </c>
    </row>
    <row r="151" spans="1:13" x14ac:dyDescent="0.3">
      <c r="A151" s="86">
        <v>44812</v>
      </c>
      <c r="B151" s="104">
        <f t="shared" si="2"/>
        <v>113</v>
      </c>
      <c r="C151" s="144">
        <v>28.84</v>
      </c>
      <c r="D151" s="144">
        <v>0.1</v>
      </c>
      <c r="E151" s="144">
        <v>1.01</v>
      </c>
      <c r="F151" s="144">
        <v>70.05</v>
      </c>
      <c r="G151" s="145"/>
      <c r="H151" s="145"/>
      <c r="I151" s="145"/>
      <c r="J151" s="145"/>
      <c r="K151" s="145">
        <v>76.709999999999994</v>
      </c>
      <c r="L151" s="145">
        <v>5.54</v>
      </c>
      <c r="M151" s="145">
        <v>17.739999999999998</v>
      </c>
    </row>
    <row r="152" spans="1:13" x14ac:dyDescent="0.3">
      <c r="A152" s="86">
        <v>44813</v>
      </c>
      <c r="B152" s="104">
        <f t="shared" ref="B152:B177" si="6">A152-A151+B151</f>
        <v>114</v>
      </c>
      <c r="C152" s="144">
        <v>28.84</v>
      </c>
      <c r="D152" s="144">
        <v>0.1</v>
      </c>
      <c r="E152" s="144">
        <v>1.01</v>
      </c>
      <c r="F152" s="144">
        <v>70.05</v>
      </c>
      <c r="G152" s="145"/>
      <c r="H152" s="145"/>
      <c r="I152" s="145"/>
      <c r="J152" s="145"/>
      <c r="K152" s="145">
        <v>76.709999999999994</v>
      </c>
      <c r="L152" s="145">
        <v>5.54</v>
      </c>
      <c r="M152" s="145">
        <v>17.739999999999998</v>
      </c>
    </row>
    <row r="153" spans="1:13" x14ac:dyDescent="0.3">
      <c r="A153" s="86">
        <v>44814</v>
      </c>
      <c r="B153" s="104">
        <f t="shared" si="6"/>
        <v>115</v>
      </c>
      <c r="C153" s="144">
        <v>28.84</v>
      </c>
      <c r="D153" s="144">
        <v>0.1</v>
      </c>
      <c r="E153" s="144">
        <v>1.01</v>
      </c>
      <c r="F153" s="144">
        <v>70.05</v>
      </c>
      <c r="G153" s="145"/>
      <c r="H153" s="145"/>
      <c r="I153" s="145"/>
      <c r="J153" s="145"/>
      <c r="K153" s="145">
        <v>76.709999999999994</v>
      </c>
      <c r="L153" s="145">
        <v>5.54</v>
      </c>
      <c r="M153" s="145">
        <v>17.739999999999998</v>
      </c>
    </row>
    <row r="154" spans="1:13" x14ac:dyDescent="0.3">
      <c r="A154" s="86">
        <v>44815</v>
      </c>
      <c r="B154" s="104">
        <f t="shared" si="6"/>
        <v>116</v>
      </c>
      <c r="C154" s="144">
        <v>28.84</v>
      </c>
      <c r="D154" s="144">
        <v>0.1</v>
      </c>
      <c r="E154" s="144">
        <v>1.01</v>
      </c>
      <c r="F154" s="144">
        <v>70.05</v>
      </c>
      <c r="G154" s="145"/>
      <c r="H154" s="145"/>
      <c r="I154" s="145"/>
      <c r="J154" s="145"/>
      <c r="K154" s="145">
        <v>76.709999999999994</v>
      </c>
      <c r="L154" s="145">
        <v>5.54</v>
      </c>
      <c r="M154" s="145">
        <v>17.739999999999998</v>
      </c>
    </row>
    <row r="155" spans="1:13" x14ac:dyDescent="0.3">
      <c r="A155" s="86">
        <v>44816</v>
      </c>
      <c r="B155" s="104">
        <f t="shared" si="6"/>
        <v>117</v>
      </c>
      <c r="C155" s="144">
        <v>28.84</v>
      </c>
      <c r="D155" s="144">
        <v>0.1</v>
      </c>
      <c r="E155" s="144">
        <v>1.01</v>
      </c>
      <c r="F155" s="144">
        <v>70.05</v>
      </c>
      <c r="G155" s="145"/>
      <c r="H155" s="145"/>
      <c r="I155" s="145"/>
      <c r="J155" s="145"/>
      <c r="K155" s="145">
        <v>76.709999999999994</v>
      </c>
      <c r="L155" s="145">
        <v>5.54</v>
      </c>
      <c r="M155" s="145">
        <v>17.739999999999998</v>
      </c>
    </row>
    <row r="156" spans="1:13" x14ac:dyDescent="0.3">
      <c r="A156" s="86">
        <v>44817</v>
      </c>
      <c r="B156" s="104">
        <f t="shared" si="6"/>
        <v>118</v>
      </c>
      <c r="C156" s="144">
        <v>23.26</v>
      </c>
      <c r="D156" s="144">
        <v>0.08</v>
      </c>
      <c r="E156" s="144">
        <v>1.2</v>
      </c>
      <c r="F156" s="144">
        <v>75.459999999999994</v>
      </c>
      <c r="G156" s="145"/>
      <c r="H156" s="145"/>
      <c r="I156" s="145"/>
      <c r="J156" s="145"/>
      <c r="K156" s="145">
        <v>87.45</v>
      </c>
      <c r="L156" s="145">
        <v>2.4500000000000002</v>
      </c>
      <c r="M156" s="145">
        <v>10.1</v>
      </c>
    </row>
    <row r="157" spans="1:13" x14ac:dyDescent="0.3">
      <c r="A157" s="86">
        <v>44818</v>
      </c>
      <c r="B157" s="104">
        <f t="shared" si="6"/>
        <v>119</v>
      </c>
      <c r="C157" s="144">
        <v>23.26</v>
      </c>
      <c r="D157" s="144">
        <v>0.08</v>
      </c>
      <c r="E157" s="144">
        <v>1.2</v>
      </c>
      <c r="F157" s="144">
        <v>75.459999999999994</v>
      </c>
      <c r="G157" s="145"/>
      <c r="H157" s="145"/>
      <c r="I157" s="145"/>
      <c r="J157" s="145"/>
      <c r="K157" s="145">
        <v>87.45</v>
      </c>
      <c r="L157" s="145">
        <v>2.4500000000000002</v>
      </c>
      <c r="M157" s="145">
        <v>10.1</v>
      </c>
    </row>
    <row r="158" spans="1:13" x14ac:dyDescent="0.3">
      <c r="A158" s="86">
        <v>44819</v>
      </c>
      <c r="B158" s="104">
        <f t="shared" si="6"/>
        <v>120</v>
      </c>
      <c r="C158" s="144">
        <v>23.26</v>
      </c>
      <c r="D158" s="144">
        <v>0.08</v>
      </c>
      <c r="E158" s="144">
        <v>1.2</v>
      </c>
      <c r="F158" s="144">
        <v>75.459999999999994</v>
      </c>
      <c r="G158" s="145"/>
      <c r="H158" s="145"/>
      <c r="I158" s="145"/>
      <c r="J158" s="145"/>
      <c r="K158" s="145">
        <v>87.45</v>
      </c>
      <c r="L158" s="145">
        <v>2.4500000000000002</v>
      </c>
      <c r="M158" s="145">
        <v>10.1</v>
      </c>
    </row>
    <row r="159" spans="1:13" x14ac:dyDescent="0.3">
      <c r="A159" s="86">
        <v>44820</v>
      </c>
      <c r="B159" s="104">
        <f t="shared" si="6"/>
        <v>121</v>
      </c>
      <c r="C159" s="144">
        <v>23.26</v>
      </c>
      <c r="D159" s="144">
        <v>0.08</v>
      </c>
      <c r="E159" s="144">
        <v>1.2</v>
      </c>
      <c r="F159" s="144">
        <v>75.459999999999994</v>
      </c>
      <c r="G159" s="145"/>
      <c r="H159" s="145"/>
      <c r="I159" s="145"/>
      <c r="J159" s="145"/>
      <c r="K159" s="145">
        <v>87.45</v>
      </c>
      <c r="L159" s="145">
        <v>2.4500000000000002</v>
      </c>
      <c r="M159" s="145">
        <v>10.1</v>
      </c>
    </row>
    <row r="160" spans="1:13" x14ac:dyDescent="0.3">
      <c r="A160" s="86">
        <v>44821</v>
      </c>
      <c r="B160" s="104">
        <f t="shared" si="6"/>
        <v>122</v>
      </c>
      <c r="C160" s="144">
        <v>23.26</v>
      </c>
      <c r="D160" s="144">
        <v>0.08</v>
      </c>
      <c r="E160" s="144">
        <v>1.2</v>
      </c>
      <c r="F160" s="144">
        <v>75.459999999999994</v>
      </c>
      <c r="G160" s="145"/>
      <c r="H160" s="145"/>
      <c r="I160" s="145"/>
      <c r="J160" s="145"/>
      <c r="K160" s="145">
        <v>87.45</v>
      </c>
      <c r="L160" s="145">
        <v>2.4500000000000002</v>
      </c>
      <c r="M160" s="145">
        <v>10.1</v>
      </c>
    </row>
    <row r="161" spans="1:13" x14ac:dyDescent="0.3">
      <c r="A161" s="86">
        <v>44822</v>
      </c>
      <c r="B161" s="104">
        <f t="shared" si="6"/>
        <v>123</v>
      </c>
      <c r="C161" s="144">
        <v>23.26</v>
      </c>
      <c r="D161" s="144">
        <v>0.08</v>
      </c>
      <c r="E161" s="144">
        <v>1.2</v>
      </c>
      <c r="F161" s="144">
        <v>75.459999999999994</v>
      </c>
      <c r="G161" s="145"/>
      <c r="H161" s="145"/>
      <c r="I161" s="145"/>
      <c r="J161" s="145"/>
      <c r="K161" s="145">
        <v>87.45</v>
      </c>
      <c r="L161" s="145">
        <v>2.4500000000000002</v>
      </c>
      <c r="M161" s="145">
        <v>10.1</v>
      </c>
    </row>
    <row r="162" spans="1:13" x14ac:dyDescent="0.3">
      <c r="A162" s="86">
        <v>44823</v>
      </c>
      <c r="B162" s="104">
        <f t="shared" si="6"/>
        <v>124</v>
      </c>
      <c r="C162" s="144">
        <v>23.26</v>
      </c>
      <c r="D162" s="144">
        <v>0.08</v>
      </c>
      <c r="E162" s="144">
        <v>1.2</v>
      </c>
      <c r="F162" s="144">
        <v>75.459999999999994</v>
      </c>
      <c r="G162" s="145"/>
      <c r="H162" s="145"/>
      <c r="I162" s="145"/>
      <c r="J162" s="145"/>
      <c r="K162" s="145">
        <v>87.45</v>
      </c>
      <c r="L162" s="145">
        <v>2.4500000000000002</v>
      </c>
      <c r="M162" s="145">
        <v>10.1</v>
      </c>
    </row>
    <row r="163" spans="1:13" x14ac:dyDescent="0.3">
      <c r="A163" s="86">
        <v>44824</v>
      </c>
      <c r="B163" s="104">
        <f t="shared" si="6"/>
        <v>125</v>
      </c>
    </row>
    <row r="164" spans="1:13" x14ac:dyDescent="0.3">
      <c r="A164" s="86">
        <v>44825</v>
      </c>
      <c r="B164" s="104">
        <f t="shared" si="6"/>
        <v>126</v>
      </c>
    </row>
    <row r="165" spans="1:13" x14ac:dyDescent="0.3">
      <c r="A165" s="86">
        <v>44826</v>
      </c>
      <c r="B165" s="104">
        <f t="shared" si="6"/>
        <v>127</v>
      </c>
    </row>
    <row r="166" spans="1:13" x14ac:dyDescent="0.3">
      <c r="A166" s="86">
        <v>44827</v>
      </c>
      <c r="B166" s="104">
        <f t="shared" si="6"/>
        <v>128</v>
      </c>
    </row>
    <row r="167" spans="1:13" x14ac:dyDescent="0.3">
      <c r="A167" s="86">
        <v>44828</v>
      </c>
      <c r="B167" s="104">
        <f t="shared" si="6"/>
        <v>129</v>
      </c>
    </row>
    <row r="168" spans="1:13" x14ac:dyDescent="0.3">
      <c r="A168" s="86">
        <v>44829</v>
      </c>
      <c r="B168" s="104">
        <f t="shared" si="6"/>
        <v>130</v>
      </c>
    </row>
    <row r="169" spans="1:13" x14ac:dyDescent="0.3">
      <c r="A169" s="86">
        <v>44830</v>
      </c>
      <c r="B169" s="104">
        <f t="shared" si="6"/>
        <v>131</v>
      </c>
    </row>
    <row r="170" spans="1:13" x14ac:dyDescent="0.3">
      <c r="A170" s="86">
        <v>44831</v>
      </c>
      <c r="B170" s="104">
        <f t="shared" si="6"/>
        <v>132</v>
      </c>
    </row>
    <row r="171" spans="1:13" x14ac:dyDescent="0.3">
      <c r="A171" s="86">
        <v>44832</v>
      </c>
      <c r="B171" s="104">
        <f t="shared" si="6"/>
        <v>133</v>
      </c>
    </row>
    <row r="172" spans="1:13" x14ac:dyDescent="0.3">
      <c r="A172" s="86">
        <v>44833</v>
      </c>
      <c r="B172" s="104">
        <f t="shared" si="6"/>
        <v>134</v>
      </c>
    </row>
    <row r="173" spans="1:13" x14ac:dyDescent="0.3">
      <c r="A173" s="86">
        <v>44834</v>
      </c>
      <c r="B173" s="104">
        <f t="shared" si="6"/>
        <v>135</v>
      </c>
    </row>
    <row r="174" spans="1:13" x14ac:dyDescent="0.3">
      <c r="A174" s="86">
        <v>44835</v>
      </c>
      <c r="B174" s="104">
        <f t="shared" si="6"/>
        <v>136</v>
      </c>
    </row>
    <row r="175" spans="1:13" x14ac:dyDescent="0.3">
      <c r="A175" s="86">
        <v>44836</v>
      </c>
      <c r="B175" s="104">
        <f t="shared" si="6"/>
        <v>137</v>
      </c>
    </row>
    <row r="176" spans="1:13" x14ac:dyDescent="0.3">
      <c r="A176" s="86">
        <v>44837</v>
      </c>
      <c r="B176" s="104">
        <f t="shared" si="6"/>
        <v>138</v>
      </c>
    </row>
    <row r="177" spans="1:2" x14ac:dyDescent="0.3">
      <c r="A177" s="86">
        <v>44849</v>
      </c>
      <c r="B177" s="104">
        <f t="shared" si="6"/>
        <v>150</v>
      </c>
    </row>
    <row r="178" spans="1:2" x14ac:dyDescent="0.3">
      <c r="A178" s="86"/>
      <c r="B178" s="104"/>
    </row>
    <row r="179" spans="1:2" x14ac:dyDescent="0.3">
      <c r="A179" s="86"/>
      <c r="B179" s="104"/>
    </row>
    <row r="180" spans="1:2" x14ac:dyDescent="0.3">
      <c r="A180" s="86"/>
      <c r="B180" s="104"/>
    </row>
    <row r="181" spans="1:2" x14ac:dyDescent="0.3">
      <c r="A181" s="86"/>
      <c r="B181" s="104"/>
    </row>
    <row r="182" spans="1:2" x14ac:dyDescent="0.3">
      <c r="A182" s="86"/>
      <c r="B182" s="104"/>
    </row>
    <row r="183" spans="1:2" x14ac:dyDescent="0.3">
      <c r="A183" s="86"/>
      <c r="B183" s="104"/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4A81-7E58-47B3-A4AA-D4683AE0AB1D}">
  <dimension ref="A1:S199"/>
  <sheetViews>
    <sheetView zoomScale="85" zoomScaleNormal="85" workbookViewId="0">
      <pane xSplit="2" ySplit="2" topLeftCell="M118" activePane="bottomRight" state="frozen"/>
      <selection pane="topRight" activeCell="C1" sqref="C1"/>
      <selection pane="bottomLeft" activeCell="A3" sqref="A3"/>
      <selection pane="bottomRight" activeCell="C36" sqref="C36"/>
    </sheetView>
  </sheetViews>
  <sheetFormatPr defaultColWidth="9.109375" defaultRowHeight="15.6" x14ac:dyDescent="0.3"/>
  <cols>
    <col min="1" max="1" width="11.33203125" style="80" bestFit="1" customWidth="1"/>
    <col min="2" max="2" width="11.33203125" style="150" customWidth="1"/>
    <col min="3" max="4" width="12" style="118" bestFit="1" customWidth="1"/>
    <col min="5" max="5" width="11.88671875" style="80" bestFit="1" customWidth="1"/>
    <col min="6" max="6" width="15.44140625" style="152" bestFit="1" customWidth="1"/>
    <col min="7" max="7" width="13.88671875" style="80" bestFit="1" customWidth="1"/>
    <col min="8" max="8" width="16.88671875" style="152" bestFit="1" customWidth="1"/>
    <col min="9" max="9" width="26.5546875" style="118" bestFit="1" customWidth="1"/>
    <col min="10" max="10" width="15.5546875" style="154" bestFit="1" customWidth="1"/>
    <col min="11" max="11" width="15.5546875" style="118" customWidth="1"/>
    <col min="12" max="16384" width="9.109375" style="80"/>
  </cols>
  <sheetData>
    <row r="1" spans="1:13" s="54" customFormat="1" ht="31.2" x14ac:dyDescent="0.3">
      <c r="A1" s="60"/>
      <c r="B1" s="104"/>
      <c r="C1" s="156" t="s">
        <v>83</v>
      </c>
      <c r="D1" s="156" t="s">
        <v>83</v>
      </c>
      <c r="E1" s="157" t="s">
        <v>82</v>
      </c>
      <c r="F1" s="158" t="s">
        <v>84</v>
      </c>
      <c r="G1" s="60" t="s">
        <v>46</v>
      </c>
      <c r="H1" s="159" t="s">
        <v>75</v>
      </c>
      <c r="I1" s="53" t="s">
        <v>76</v>
      </c>
      <c r="J1" s="160" t="s">
        <v>87</v>
      </c>
      <c r="K1" s="53" t="s">
        <v>91</v>
      </c>
      <c r="L1" s="60" t="s">
        <v>88</v>
      </c>
      <c r="M1" s="60" t="s">
        <v>90</v>
      </c>
    </row>
    <row r="2" spans="1:13" x14ac:dyDescent="0.3">
      <c r="A2" s="66"/>
      <c r="B2" s="161"/>
      <c r="C2" s="79" t="s">
        <v>80</v>
      </c>
      <c r="D2" s="79" t="s">
        <v>81</v>
      </c>
      <c r="E2" s="66" t="s">
        <v>25</v>
      </c>
      <c r="F2" s="162" t="s">
        <v>77</v>
      </c>
      <c r="G2" s="66" t="s">
        <v>24</v>
      </c>
      <c r="H2" s="162" t="s">
        <v>78</v>
      </c>
      <c r="I2" s="79" t="s">
        <v>79</v>
      </c>
      <c r="J2" s="101" t="s">
        <v>86</v>
      </c>
      <c r="K2" s="79" t="s">
        <v>77</v>
      </c>
      <c r="L2" s="66" t="s">
        <v>89</v>
      </c>
      <c r="M2" s="66" t="s">
        <v>89</v>
      </c>
    </row>
    <row r="3" spans="1:13" x14ac:dyDescent="0.3">
      <c r="A3" s="105">
        <v>44699</v>
      </c>
      <c r="B3" s="106">
        <v>0</v>
      </c>
      <c r="C3" s="79">
        <v>0.97505819000000005</v>
      </c>
      <c r="D3" s="79">
        <f>C3*24</f>
        <v>23.401396560000002</v>
      </c>
      <c r="E3" s="66">
        <v>84.23</v>
      </c>
      <c r="F3" s="162">
        <f>D3*E3/100</f>
        <v>19.710996322488</v>
      </c>
      <c r="G3" s="79"/>
      <c r="H3" s="162"/>
      <c r="I3" s="79"/>
      <c r="J3" s="101"/>
      <c r="K3" s="79"/>
      <c r="L3" s="66"/>
      <c r="M3" s="66"/>
    </row>
    <row r="4" spans="1:13" x14ac:dyDescent="0.3">
      <c r="A4" s="105">
        <v>44700</v>
      </c>
      <c r="B4" s="106">
        <f>A4-A3+B3</f>
        <v>1</v>
      </c>
      <c r="C4" s="79">
        <v>1.4010567009999999</v>
      </c>
      <c r="D4" s="79">
        <f t="shared" ref="D4:D69" si="0">C4*24</f>
        <v>33.625360823999998</v>
      </c>
      <c r="E4" s="66">
        <v>84.23</v>
      </c>
      <c r="F4" s="162">
        <f t="shared" ref="F4:F66" si="1">D4*E4/100</f>
        <v>28.322641422055199</v>
      </c>
      <c r="G4" s="79"/>
      <c r="H4" s="162"/>
      <c r="I4" s="79"/>
      <c r="J4" s="101"/>
      <c r="K4" s="79"/>
      <c r="L4" s="66"/>
      <c r="M4" s="66"/>
    </row>
    <row r="5" spans="1:13" x14ac:dyDescent="0.3">
      <c r="A5" s="86">
        <v>44701</v>
      </c>
      <c r="B5" s="106">
        <f t="shared" ref="B5:B70" si="2">A5-A4+B4</f>
        <v>2</v>
      </c>
      <c r="C5" s="79">
        <v>1.4268447710000001</v>
      </c>
      <c r="D5" s="79">
        <f t="shared" si="0"/>
        <v>34.244274504000003</v>
      </c>
      <c r="E5" s="66">
        <v>65.72</v>
      </c>
      <c r="F5" s="162">
        <f t="shared" si="1"/>
        <v>22.505337204028802</v>
      </c>
      <c r="G5" s="79">
        <v>647.8039506629525</v>
      </c>
      <c r="H5" s="162">
        <f>G5/1000/1000*48</f>
        <v>3.1094589631821719E-2</v>
      </c>
      <c r="I5" s="79">
        <f t="shared" ref="I5:I66" si="3">F5/1000/H5</f>
        <v>0.72377019508876839</v>
      </c>
      <c r="J5" s="101"/>
      <c r="K5" s="79"/>
      <c r="L5" s="66"/>
      <c r="M5" s="66"/>
    </row>
    <row r="6" spans="1:13" x14ac:dyDescent="0.3">
      <c r="A6" s="86">
        <v>44702</v>
      </c>
      <c r="B6" s="106">
        <f t="shared" si="2"/>
        <v>3</v>
      </c>
      <c r="C6" s="79">
        <v>1.542869598</v>
      </c>
      <c r="D6" s="79">
        <f t="shared" si="0"/>
        <v>37.028870351999998</v>
      </c>
      <c r="E6" s="66">
        <v>65.72</v>
      </c>
      <c r="F6" s="162">
        <f t="shared" si="1"/>
        <v>24.335373595334399</v>
      </c>
      <c r="G6" s="79"/>
      <c r="H6" s="162"/>
      <c r="I6" s="79"/>
      <c r="J6" s="101"/>
      <c r="K6" s="79"/>
      <c r="L6" s="66"/>
      <c r="M6" s="66"/>
    </row>
    <row r="7" spans="1:13" x14ac:dyDescent="0.3">
      <c r="A7" s="86">
        <v>44703</v>
      </c>
      <c r="B7" s="106">
        <f t="shared" si="2"/>
        <v>4</v>
      </c>
      <c r="C7" s="79">
        <v>1.444100546</v>
      </c>
      <c r="D7" s="79">
        <f t="shared" si="0"/>
        <v>34.658413104000005</v>
      </c>
      <c r="E7" s="66">
        <v>65.72</v>
      </c>
      <c r="F7" s="162">
        <f t="shared" si="1"/>
        <v>22.777509091948804</v>
      </c>
      <c r="G7" s="79"/>
      <c r="H7" s="162"/>
      <c r="I7" s="79"/>
      <c r="J7" s="101"/>
      <c r="K7" s="79"/>
      <c r="L7" s="66"/>
      <c r="M7" s="66"/>
    </row>
    <row r="8" spans="1:13" x14ac:dyDescent="0.3">
      <c r="A8" s="86">
        <v>44704</v>
      </c>
      <c r="B8" s="106">
        <f t="shared" si="2"/>
        <v>5</v>
      </c>
      <c r="C8" s="79">
        <v>1.3103287669999999</v>
      </c>
      <c r="D8" s="79">
        <f t="shared" si="0"/>
        <v>31.447890407999999</v>
      </c>
      <c r="E8" s="66">
        <v>58.3</v>
      </c>
      <c r="F8" s="162">
        <f t="shared" si="1"/>
        <v>18.334120107863999</v>
      </c>
      <c r="G8" s="79">
        <v>518.85899401357278</v>
      </c>
      <c r="H8" s="162">
        <f t="shared" ref="H8:H43" si="4">G8/1000/1000*48</f>
        <v>2.4905231712651493E-2</v>
      </c>
      <c r="I8" s="79">
        <f t="shared" si="3"/>
        <v>0.73615537166636891</v>
      </c>
      <c r="J8" s="101"/>
      <c r="K8" s="79"/>
      <c r="L8" s="66"/>
      <c r="M8" s="66"/>
    </row>
    <row r="9" spans="1:13" x14ac:dyDescent="0.3">
      <c r="A9" s="86">
        <v>44705</v>
      </c>
      <c r="B9" s="106">
        <f t="shared" si="2"/>
        <v>6</v>
      </c>
      <c r="C9" s="79">
        <v>0.82946033299999999</v>
      </c>
      <c r="D9" s="79">
        <f t="shared" si="0"/>
        <v>19.907047991999999</v>
      </c>
      <c r="E9" s="66">
        <v>58.3</v>
      </c>
      <c r="F9" s="162">
        <f t="shared" si="1"/>
        <v>11.605808979335997</v>
      </c>
      <c r="G9" s="79">
        <v>658.20145527300758</v>
      </c>
      <c r="H9" s="162">
        <f t="shared" si="4"/>
        <v>3.1593669853104363E-2</v>
      </c>
      <c r="I9" s="79">
        <f t="shared" si="3"/>
        <v>0.3673460232159646</v>
      </c>
      <c r="J9" s="101"/>
      <c r="K9" s="79"/>
      <c r="L9" s="66"/>
      <c r="M9" s="66"/>
    </row>
    <row r="10" spans="1:13" x14ac:dyDescent="0.3">
      <c r="A10" s="86">
        <v>44706</v>
      </c>
      <c r="B10" s="106">
        <f t="shared" si="2"/>
        <v>7</v>
      </c>
      <c r="C10" s="79">
        <v>0.83370024399999998</v>
      </c>
      <c r="D10" s="79">
        <f t="shared" si="0"/>
        <v>20.008805855999999</v>
      </c>
      <c r="E10" s="66">
        <v>58.3</v>
      </c>
      <c r="F10" s="162">
        <f t="shared" si="1"/>
        <v>11.665133814048</v>
      </c>
      <c r="G10" s="79">
        <v>556.55987575211577</v>
      </c>
      <c r="H10" s="162">
        <f t="shared" si="4"/>
        <v>2.6714874036101559E-2</v>
      </c>
      <c r="I10" s="79">
        <f t="shared" si="3"/>
        <v>0.43665314679321121</v>
      </c>
      <c r="J10" s="101"/>
      <c r="K10" s="79"/>
      <c r="L10" s="66"/>
      <c r="M10" s="66"/>
    </row>
    <row r="11" spans="1:13" x14ac:dyDescent="0.3">
      <c r="A11" s="86">
        <v>44707</v>
      </c>
      <c r="B11" s="106">
        <f t="shared" si="2"/>
        <v>8</v>
      </c>
      <c r="C11" s="79">
        <v>1.0733899769999999</v>
      </c>
      <c r="D11" s="79">
        <f t="shared" si="0"/>
        <v>25.761359448</v>
      </c>
      <c r="E11" s="66">
        <v>65.84</v>
      </c>
      <c r="F11" s="162">
        <f t="shared" si="1"/>
        <v>16.9612790605632</v>
      </c>
      <c r="G11" s="79"/>
      <c r="H11" s="162"/>
      <c r="I11" s="79"/>
      <c r="J11" s="101"/>
      <c r="K11" s="79"/>
      <c r="L11" s="66"/>
      <c r="M11" s="66"/>
    </row>
    <row r="12" spans="1:13" x14ac:dyDescent="0.3">
      <c r="A12" s="86">
        <v>44708</v>
      </c>
      <c r="B12" s="106">
        <f t="shared" si="2"/>
        <v>9</v>
      </c>
      <c r="C12" s="79">
        <v>0.92252230999999996</v>
      </c>
      <c r="D12" s="79">
        <f t="shared" si="0"/>
        <v>22.140535440000001</v>
      </c>
      <c r="E12" s="66">
        <v>65.84</v>
      </c>
      <c r="F12" s="162">
        <f t="shared" si="1"/>
        <v>14.577328533696003</v>
      </c>
      <c r="G12" s="79">
        <v>780.30279122704462</v>
      </c>
      <c r="H12" s="162">
        <f t="shared" si="4"/>
        <v>3.7454533978898141E-2</v>
      </c>
      <c r="I12" s="79">
        <f t="shared" si="3"/>
        <v>0.38920063835018903</v>
      </c>
      <c r="J12" s="101"/>
      <c r="K12" s="79"/>
      <c r="L12" s="66"/>
      <c r="M12" s="66"/>
    </row>
    <row r="13" spans="1:13" x14ac:dyDescent="0.3">
      <c r="A13" s="86">
        <v>44709</v>
      </c>
      <c r="B13" s="106">
        <f t="shared" si="2"/>
        <v>10</v>
      </c>
      <c r="C13" s="79">
        <v>1.0321123080000001</v>
      </c>
      <c r="D13" s="79">
        <f t="shared" si="0"/>
        <v>24.770695392</v>
      </c>
      <c r="E13" s="66">
        <v>65.5</v>
      </c>
      <c r="F13" s="162">
        <f t="shared" si="1"/>
        <v>16.224805481760001</v>
      </c>
      <c r="G13" s="79"/>
      <c r="H13" s="162"/>
      <c r="I13" s="79"/>
      <c r="J13" s="101"/>
      <c r="K13" s="79"/>
      <c r="L13" s="66"/>
      <c r="M13" s="66"/>
    </row>
    <row r="14" spans="1:13" x14ac:dyDescent="0.3">
      <c r="A14" s="86">
        <v>44710</v>
      </c>
      <c r="B14" s="106">
        <f t="shared" si="2"/>
        <v>11</v>
      </c>
      <c r="C14" s="79">
        <v>1.234526212</v>
      </c>
      <c r="D14" s="79">
        <f t="shared" si="0"/>
        <v>29.628629088</v>
      </c>
      <c r="E14" s="66">
        <v>65.5</v>
      </c>
      <c r="F14" s="162">
        <f t="shared" si="1"/>
        <v>19.406752052639998</v>
      </c>
      <c r="G14" s="79"/>
      <c r="H14" s="162"/>
      <c r="I14" s="79"/>
      <c r="J14" s="101"/>
      <c r="K14" s="79"/>
      <c r="L14" s="66"/>
      <c r="M14" s="66"/>
    </row>
    <row r="15" spans="1:13" x14ac:dyDescent="0.3">
      <c r="A15" s="86">
        <v>44711</v>
      </c>
      <c r="B15" s="106">
        <f t="shared" si="2"/>
        <v>12</v>
      </c>
      <c r="C15" s="79">
        <v>1.090615181</v>
      </c>
      <c r="D15" s="79">
        <f t="shared" si="0"/>
        <v>26.174764344</v>
      </c>
      <c r="E15" s="66">
        <v>68.14</v>
      </c>
      <c r="F15" s="162">
        <f t="shared" si="1"/>
        <v>17.835484424001599</v>
      </c>
      <c r="G15" s="79">
        <v>698.96592600670135</v>
      </c>
      <c r="H15" s="162">
        <f t="shared" si="4"/>
        <v>3.3550364448321671E-2</v>
      </c>
      <c r="I15" s="79">
        <f t="shared" si="3"/>
        <v>0.53160329901852399</v>
      </c>
      <c r="J15" s="101"/>
      <c r="K15" s="79"/>
      <c r="L15" s="66"/>
      <c r="M15" s="66"/>
    </row>
    <row r="16" spans="1:13" x14ac:dyDescent="0.3">
      <c r="A16" s="86">
        <v>44712</v>
      </c>
      <c r="B16" s="106">
        <f t="shared" si="2"/>
        <v>13</v>
      </c>
      <c r="C16" s="79">
        <v>0.80523430600000001</v>
      </c>
      <c r="D16" s="79">
        <f t="shared" si="0"/>
        <v>19.325623344</v>
      </c>
      <c r="E16" s="66">
        <v>68.14</v>
      </c>
      <c r="F16" s="162">
        <f t="shared" si="1"/>
        <v>13.1684797466016</v>
      </c>
      <c r="G16" s="79"/>
      <c r="H16" s="162"/>
      <c r="I16" s="79"/>
      <c r="J16" s="101"/>
      <c r="K16" s="79"/>
      <c r="L16" s="66"/>
      <c r="M16" s="66"/>
    </row>
    <row r="17" spans="1:13" x14ac:dyDescent="0.3">
      <c r="A17" s="86">
        <v>44713</v>
      </c>
      <c r="B17" s="106">
        <f t="shared" si="2"/>
        <v>14</v>
      </c>
      <c r="C17" s="79">
        <v>0.97372757499999996</v>
      </c>
      <c r="D17" s="79">
        <f t="shared" si="0"/>
        <v>23.3694618</v>
      </c>
      <c r="E17" s="66">
        <v>58.79</v>
      </c>
      <c r="F17" s="162">
        <f t="shared" si="1"/>
        <v>13.738906592220001</v>
      </c>
      <c r="G17" s="79">
        <v>1001.5560117722218</v>
      </c>
      <c r="H17" s="162">
        <f t="shared" si="4"/>
        <v>4.8074688565066637E-2</v>
      </c>
      <c r="I17" s="79">
        <f t="shared" si="3"/>
        <v>0.28578253967521999</v>
      </c>
      <c r="J17" s="101"/>
      <c r="K17" s="79"/>
      <c r="L17" s="66"/>
      <c r="M17" s="66"/>
    </row>
    <row r="18" spans="1:13" x14ac:dyDescent="0.3">
      <c r="A18" s="86">
        <v>44714</v>
      </c>
      <c r="B18" s="106">
        <f t="shared" si="2"/>
        <v>15</v>
      </c>
      <c r="C18" s="79">
        <v>1.3838579070000001</v>
      </c>
      <c r="D18" s="79">
        <f t="shared" si="0"/>
        <v>33.212589768000001</v>
      </c>
      <c r="E18" s="66">
        <v>58.79</v>
      </c>
      <c r="F18" s="162">
        <f t="shared" si="1"/>
        <v>19.525681524607201</v>
      </c>
      <c r="G18" s="79"/>
      <c r="H18" s="162"/>
      <c r="I18" s="79"/>
      <c r="J18" s="101"/>
      <c r="K18" s="79"/>
      <c r="L18" s="66"/>
      <c r="M18" s="66"/>
    </row>
    <row r="19" spans="1:13" x14ac:dyDescent="0.3">
      <c r="A19" s="86">
        <v>44715</v>
      </c>
      <c r="B19" s="106">
        <f t="shared" si="2"/>
        <v>16</v>
      </c>
      <c r="C19" s="79">
        <v>0.95829502899999996</v>
      </c>
      <c r="D19" s="79">
        <f t="shared" si="0"/>
        <v>22.999080696</v>
      </c>
      <c r="E19" s="66">
        <v>40.659999999999997</v>
      </c>
      <c r="F19" s="162">
        <f t="shared" si="1"/>
        <v>9.3514262109935995</v>
      </c>
      <c r="G19" s="79">
        <v>692.94584332379543</v>
      </c>
      <c r="H19" s="162">
        <f t="shared" si="4"/>
        <v>3.326140047954218E-2</v>
      </c>
      <c r="I19" s="79">
        <f t="shared" si="3"/>
        <v>0.28114950291240154</v>
      </c>
      <c r="J19" s="101"/>
      <c r="K19" s="79"/>
      <c r="L19" s="66"/>
      <c r="M19" s="66"/>
    </row>
    <row r="20" spans="1:13" x14ac:dyDescent="0.3">
      <c r="A20" s="86">
        <v>44716</v>
      </c>
      <c r="B20" s="106">
        <f t="shared" si="2"/>
        <v>17</v>
      </c>
      <c r="C20" s="79">
        <v>0.41317675199999998</v>
      </c>
      <c r="D20" s="79">
        <f t="shared" si="0"/>
        <v>9.9162420479999991</v>
      </c>
      <c r="E20" s="66">
        <v>40.659999999999997</v>
      </c>
      <c r="F20" s="162">
        <f t="shared" si="1"/>
        <v>4.0319440167167997</v>
      </c>
      <c r="G20" s="79"/>
      <c r="H20" s="162"/>
      <c r="I20" s="79"/>
      <c r="J20" s="101"/>
      <c r="K20" s="79"/>
      <c r="L20" s="66"/>
      <c r="M20" s="66"/>
    </row>
    <row r="21" spans="1:13" x14ac:dyDescent="0.3">
      <c r="A21" s="86">
        <v>44717</v>
      </c>
      <c r="B21" s="106">
        <f t="shared" si="2"/>
        <v>18</v>
      </c>
      <c r="C21" s="79">
        <v>0.46203517199999999</v>
      </c>
      <c r="D21" s="79">
        <f t="shared" si="0"/>
        <v>11.088844128</v>
      </c>
      <c r="E21" s="66">
        <v>40.659999999999997</v>
      </c>
      <c r="F21" s="162">
        <f t="shared" si="1"/>
        <v>4.5087240224447989</v>
      </c>
      <c r="G21" s="79"/>
      <c r="H21" s="162"/>
      <c r="I21" s="79"/>
      <c r="J21" s="101"/>
      <c r="K21" s="79"/>
      <c r="L21" s="66"/>
      <c r="M21" s="66"/>
    </row>
    <row r="22" spans="1:13" x14ac:dyDescent="0.3">
      <c r="A22" s="86">
        <v>44718</v>
      </c>
      <c r="B22" s="106">
        <f t="shared" si="2"/>
        <v>19</v>
      </c>
      <c r="C22" s="79">
        <v>0.40562053999999997</v>
      </c>
      <c r="D22" s="79">
        <f t="shared" si="0"/>
        <v>9.7348929599999998</v>
      </c>
      <c r="E22" s="66">
        <v>43.86</v>
      </c>
      <c r="F22" s="162">
        <f t="shared" si="1"/>
        <v>4.2697240522559996</v>
      </c>
      <c r="G22" s="79">
        <v>166.05406457560258</v>
      </c>
      <c r="H22" s="162">
        <f t="shared" si="4"/>
        <v>7.9705950996289254E-3</v>
      </c>
      <c r="I22" s="79">
        <f t="shared" si="3"/>
        <v>0.53568447510961614</v>
      </c>
      <c r="J22" s="101"/>
      <c r="K22" s="79"/>
      <c r="L22" s="66"/>
      <c r="M22" s="66"/>
    </row>
    <row r="23" spans="1:13" x14ac:dyDescent="0.3">
      <c r="A23" s="86">
        <v>44719</v>
      </c>
      <c r="B23" s="106">
        <f t="shared" si="2"/>
        <v>20</v>
      </c>
      <c r="C23" s="79">
        <v>0.57188715999999995</v>
      </c>
      <c r="D23" s="79">
        <f t="shared" si="0"/>
        <v>13.725291839999999</v>
      </c>
      <c r="E23" s="66">
        <v>43.86</v>
      </c>
      <c r="F23" s="162">
        <f t="shared" si="1"/>
        <v>6.0199130010239994</v>
      </c>
      <c r="G23" s="79"/>
      <c r="H23" s="162"/>
      <c r="I23" s="79"/>
      <c r="J23" s="101"/>
      <c r="K23" s="79"/>
      <c r="L23" s="66"/>
      <c r="M23" s="66"/>
    </row>
    <row r="24" spans="1:13" x14ac:dyDescent="0.3">
      <c r="A24" s="86">
        <v>44720</v>
      </c>
      <c r="B24" s="106">
        <f t="shared" si="2"/>
        <v>21</v>
      </c>
      <c r="C24" s="79">
        <v>0.57079665099999999</v>
      </c>
      <c r="D24" s="79">
        <f t="shared" si="0"/>
        <v>13.699119624</v>
      </c>
      <c r="E24" s="66">
        <v>38.450000000000003</v>
      </c>
      <c r="F24" s="162">
        <f t="shared" si="1"/>
        <v>5.2673114954280003</v>
      </c>
      <c r="G24" s="79">
        <v>146.68366242526815</v>
      </c>
      <c r="H24" s="162">
        <f t="shared" si="4"/>
        <v>7.0408157964128703E-3</v>
      </c>
      <c r="I24" s="79">
        <f t="shared" si="3"/>
        <v>0.74811096437313007</v>
      </c>
      <c r="J24" s="101"/>
      <c r="K24" s="79"/>
      <c r="L24" s="66"/>
      <c r="M24" s="66"/>
    </row>
    <row r="25" spans="1:13" x14ac:dyDescent="0.3">
      <c r="A25" s="86">
        <v>44721</v>
      </c>
      <c r="B25" s="106">
        <f t="shared" si="2"/>
        <v>22</v>
      </c>
      <c r="C25" s="79">
        <v>0.65217803900000004</v>
      </c>
      <c r="D25" s="79">
        <f t="shared" si="0"/>
        <v>15.652272936000001</v>
      </c>
      <c r="E25" s="66">
        <v>43.65</v>
      </c>
      <c r="F25" s="162">
        <f t="shared" si="1"/>
        <v>6.8322171365640001</v>
      </c>
      <c r="G25" s="79"/>
      <c r="H25" s="162"/>
      <c r="I25" s="79"/>
      <c r="J25" s="101"/>
      <c r="K25" s="79"/>
      <c r="L25" s="66"/>
      <c r="M25" s="66"/>
    </row>
    <row r="26" spans="1:13" x14ac:dyDescent="0.3">
      <c r="A26" s="86">
        <v>44722</v>
      </c>
      <c r="B26" s="106">
        <f t="shared" si="2"/>
        <v>23</v>
      </c>
      <c r="C26" s="79">
        <v>0.67789585100000005</v>
      </c>
      <c r="D26" s="79">
        <f t="shared" si="0"/>
        <v>16.269500424</v>
      </c>
      <c r="E26" s="66">
        <v>50.89</v>
      </c>
      <c r="F26" s="162">
        <f t="shared" si="1"/>
        <v>8.2795487657735993</v>
      </c>
      <c r="G26" s="79">
        <v>100.97357865871217</v>
      </c>
      <c r="H26" s="162">
        <f t="shared" si="4"/>
        <v>4.8467317756181842E-3</v>
      </c>
      <c r="I26" s="79">
        <f t="shared" si="3"/>
        <v>1.7082745959709251</v>
      </c>
      <c r="J26" s="101"/>
      <c r="K26" s="79"/>
      <c r="L26" s="66"/>
      <c r="M26" s="66"/>
    </row>
    <row r="27" spans="1:13" x14ac:dyDescent="0.3">
      <c r="A27" s="86">
        <v>44723</v>
      </c>
      <c r="B27" s="106">
        <f t="shared" si="2"/>
        <v>24</v>
      </c>
      <c r="C27" s="79">
        <v>0.43007718700000003</v>
      </c>
      <c r="D27" s="79">
        <f t="shared" si="0"/>
        <v>10.321852488000001</v>
      </c>
      <c r="E27" s="66">
        <v>50.89</v>
      </c>
      <c r="F27" s="162">
        <f t="shared" si="1"/>
        <v>5.2527907311432012</v>
      </c>
      <c r="G27" s="79"/>
      <c r="H27" s="162"/>
      <c r="I27" s="79"/>
      <c r="J27" s="101"/>
      <c r="K27" s="79"/>
      <c r="L27" s="66"/>
      <c r="M27" s="66"/>
    </row>
    <row r="28" spans="1:13" x14ac:dyDescent="0.3">
      <c r="A28" s="86">
        <v>44724</v>
      </c>
      <c r="B28" s="106">
        <f t="shared" si="2"/>
        <v>25</v>
      </c>
      <c r="C28" s="79">
        <v>0.27654810000000002</v>
      </c>
      <c r="D28" s="79">
        <f t="shared" si="0"/>
        <v>6.6371544</v>
      </c>
      <c r="E28" s="66">
        <v>50.89</v>
      </c>
      <c r="F28" s="162">
        <f t="shared" si="1"/>
        <v>3.37764787416</v>
      </c>
      <c r="G28" s="79"/>
      <c r="H28" s="162"/>
      <c r="I28" s="79"/>
      <c r="J28" s="101"/>
      <c r="K28" s="79"/>
      <c r="L28" s="66"/>
      <c r="M28" s="66"/>
    </row>
    <row r="29" spans="1:13" x14ac:dyDescent="0.3">
      <c r="A29" s="86">
        <v>44725</v>
      </c>
      <c r="B29" s="106">
        <f t="shared" si="2"/>
        <v>26</v>
      </c>
      <c r="C29" s="79">
        <v>0.64942945299999999</v>
      </c>
      <c r="D29" s="79">
        <f t="shared" si="0"/>
        <v>15.586306872</v>
      </c>
      <c r="E29" s="66">
        <v>50.89</v>
      </c>
      <c r="F29" s="162">
        <f t="shared" si="1"/>
        <v>7.9318715671608002</v>
      </c>
      <c r="G29" s="79">
        <v>270.20675309232007</v>
      </c>
      <c r="H29" s="162">
        <f t="shared" si="4"/>
        <v>1.2969924148431362E-2</v>
      </c>
      <c r="I29" s="79">
        <f t="shared" si="3"/>
        <v>0.6115588245841912</v>
      </c>
      <c r="J29" s="101"/>
      <c r="K29" s="79"/>
      <c r="L29" s="66"/>
      <c r="M29" s="66"/>
    </row>
    <row r="30" spans="1:13" x14ac:dyDescent="0.3">
      <c r="A30" s="86">
        <v>44726</v>
      </c>
      <c r="B30" s="106">
        <f t="shared" si="2"/>
        <v>27</v>
      </c>
      <c r="C30" s="79">
        <v>1.002220211</v>
      </c>
      <c r="D30" s="79">
        <f t="shared" si="0"/>
        <v>24.053285064000001</v>
      </c>
      <c r="E30" s="66">
        <v>50.89</v>
      </c>
      <c r="F30" s="162">
        <f t="shared" si="1"/>
        <v>12.2407167690696</v>
      </c>
      <c r="G30" s="79"/>
      <c r="H30" s="162"/>
      <c r="I30" s="79"/>
      <c r="J30" s="101"/>
      <c r="K30" s="79"/>
      <c r="L30" s="66"/>
      <c r="M30" s="66"/>
    </row>
    <row r="31" spans="1:13" x14ac:dyDescent="0.3">
      <c r="A31" s="86">
        <v>44727</v>
      </c>
      <c r="B31" s="106">
        <f t="shared" si="2"/>
        <v>28</v>
      </c>
      <c r="C31" s="79">
        <v>0.751843598</v>
      </c>
      <c r="D31" s="79">
        <f t="shared" si="0"/>
        <v>18.044246352000002</v>
      </c>
      <c r="E31" s="66">
        <v>50.89</v>
      </c>
      <c r="F31" s="162">
        <f t="shared" si="1"/>
        <v>9.1827169685328016</v>
      </c>
      <c r="G31" s="79">
        <v>116.28858449351279</v>
      </c>
      <c r="H31" s="162">
        <f t="shared" si="4"/>
        <v>5.5818520556886134E-3</v>
      </c>
      <c r="I31" s="79">
        <f t="shared" si="3"/>
        <v>1.6451021770049334</v>
      </c>
      <c r="J31" s="101"/>
      <c r="K31" s="79"/>
      <c r="L31" s="66"/>
      <c r="M31" s="66"/>
    </row>
    <row r="32" spans="1:13" x14ac:dyDescent="0.3">
      <c r="A32" s="86">
        <v>44728</v>
      </c>
      <c r="B32" s="106">
        <f t="shared" si="2"/>
        <v>29</v>
      </c>
      <c r="C32" s="79">
        <v>0.91171725699999995</v>
      </c>
      <c r="D32" s="79">
        <f t="shared" si="0"/>
        <v>21.881214168</v>
      </c>
      <c r="E32" s="66"/>
      <c r="F32" s="162"/>
      <c r="G32" s="79"/>
      <c r="H32" s="162"/>
      <c r="I32" s="79"/>
      <c r="J32" s="101"/>
      <c r="K32" s="79"/>
      <c r="L32" s="66"/>
      <c r="M32" s="66"/>
    </row>
    <row r="33" spans="1:19" x14ac:dyDescent="0.3">
      <c r="A33" s="86">
        <v>44729</v>
      </c>
      <c r="B33" s="106">
        <f t="shared" si="2"/>
        <v>30</v>
      </c>
      <c r="C33" s="79">
        <v>0.91749587499999996</v>
      </c>
      <c r="D33" s="79">
        <f t="shared" si="0"/>
        <v>22.019900999999997</v>
      </c>
      <c r="E33" s="66">
        <v>47.61</v>
      </c>
      <c r="F33" s="162">
        <f t="shared" si="1"/>
        <v>10.483674866099998</v>
      </c>
      <c r="G33" s="79">
        <v>270.39713243390804</v>
      </c>
      <c r="H33" s="162">
        <f>G33/1000/1000*48</f>
        <v>1.2979062356827586E-2</v>
      </c>
      <c r="I33" s="79">
        <f t="shared" si="3"/>
        <v>0.80773746037094118</v>
      </c>
      <c r="J33" s="101"/>
      <c r="K33" s="79"/>
      <c r="L33" s="66"/>
      <c r="M33" s="66"/>
    </row>
    <row r="34" spans="1:19" x14ac:dyDescent="0.3">
      <c r="A34" s="86">
        <v>44730</v>
      </c>
      <c r="B34" s="106">
        <f t="shared" si="2"/>
        <v>31</v>
      </c>
      <c r="C34" s="79">
        <v>0.86708698900000003</v>
      </c>
      <c r="D34" s="79"/>
      <c r="E34" s="66"/>
      <c r="F34" s="162"/>
      <c r="G34" s="79"/>
      <c r="H34" s="162"/>
      <c r="I34" s="79"/>
      <c r="J34" s="101"/>
      <c r="K34" s="79"/>
      <c r="L34" s="66"/>
      <c r="M34" s="66"/>
    </row>
    <row r="35" spans="1:19" x14ac:dyDescent="0.3">
      <c r="A35" s="86">
        <v>44731</v>
      </c>
      <c r="B35" s="106">
        <f t="shared" si="2"/>
        <v>32</v>
      </c>
      <c r="C35" s="79">
        <v>0.831387879</v>
      </c>
      <c r="D35" s="79"/>
      <c r="E35" s="66"/>
      <c r="F35" s="162"/>
      <c r="G35" s="79"/>
      <c r="H35" s="162"/>
      <c r="I35" s="79"/>
      <c r="J35" s="101"/>
      <c r="K35" s="79"/>
      <c r="L35" s="66"/>
      <c r="M35" s="66"/>
    </row>
    <row r="36" spans="1:19" x14ac:dyDescent="0.3">
      <c r="A36" s="86">
        <v>44732</v>
      </c>
      <c r="B36" s="106">
        <f>A36-A33+B33</f>
        <v>33</v>
      </c>
      <c r="C36" s="79">
        <v>0.66587593300000003</v>
      </c>
      <c r="D36" s="79">
        <f t="shared" si="0"/>
        <v>15.981022392</v>
      </c>
      <c r="E36" s="66">
        <v>42.28</v>
      </c>
      <c r="F36" s="162">
        <f t="shared" si="1"/>
        <v>6.7567762673376004</v>
      </c>
      <c r="G36" s="79">
        <v>13.285003987508988</v>
      </c>
      <c r="H36" s="162">
        <f>G36/1000/1000*48</f>
        <v>6.3768019140043137E-4</v>
      </c>
      <c r="I36" s="101"/>
      <c r="J36" s="101"/>
      <c r="K36" s="79"/>
      <c r="L36" s="66"/>
      <c r="M36" s="66"/>
    </row>
    <row r="37" spans="1:19" x14ac:dyDescent="0.3">
      <c r="A37" s="86">
        <v>44733</v>
      </c>
      <c r="B37" s="106">
        <f t="shared" si="2"/>
        <v>34</v>
      </c>
      <c r="C37" s="79">
        <v>0.927825397</v>
      </c>
      <c r="D37" s="79">
        <f t="shared" si="0"/>
        <v>22.267809528000001</v>
      </c>
      <c r="E37" s="66">
        <v>42.28</v>
      </c>
      <c r="F37" s="162">
        <f t="shared" si="1"/>
        <v>9.4148298684384013</v>
      </c>
      <c r="G37" s="79"/>
      <c r="H37" s="162"/>
      <c r="I37" s="79"/>
      <c r="J37" s="101"/>
      <c r="K37" s="79"/>
      <c r="L37" s="66"/>
      <c r="M37" s="66"/>
    </row>
    <row r="38" spans="1:19" x14ac:dyDescent="0.3">
      <c r="A38" s="86">
        <v>44734</v>
      </c>
      <c r="B38" s="106">
        <f t="shared" si="2"/>
        <v>35</v>
      </c>
      <c r="C38" s="79">
        <v>0.96054194199999998</v>
      </c>
      <c r="D38" s="79">
        <f t="shared" si="0"/>
        <v>23.053006608</v>
      </c>
      <c r="E38" s="66">
        <v>46.49</v>
      </c>
      <c r="F38" s="162">
        <f t="shared" si="1"/>
        <v>10.717342772059201</v>
      </c>
      <c r="G38" s="79"/>
      <c r="H38" s="162"/>
      <c r="I38" s="79"/>
      <c r="J38" s="101"/>
      <c r="K38" s="79"/>
      <c r="L38" s="66"/>
      <c r="M38" s="66"/>
    </row>
    <row r="39" spans="1:19" x14ac:dyDescent="0.3">
      <c r="A39" s="86">
        <v>44735</v>
      </c>
      <c r="B39" s="106">
        <f t="shared" si="2"/>
        <v>36</v>
      </c>
      <c r="C39" s="79">
        <v>0.756755968</v>
      </c>
      <c r="D39" s="79">
        <f t="shared" si="0"/>
        <v>18.162143231999998</v>
      </c>
      <c r="E39" s="66">
        <v>34.19</v>
      </c>
      <c r="F39" s="162">
        <f t="shared" si="1"/>
        <v>6.2096367710207998</v>
      </c>
      <c r="G39" s="79">
        <v>498.40932878976395</v>
      </c>
      <c r="H39" s="162">
        <f t="shared" si="4"/>
        <v>2.3923647781908669E-2</v>
      </c>
      <c r="I39" s="79">
        <f t="shared" si="3"/>
        <v>0.25956061665966329</v>
      </c>
      <c r="J39" s="101"/>
      <c r="K39" s="79"/>
      <c r="L39" s="66"/>
      <c r="M39" s="66"/>
    </row>
    <row r="40" spans="1:19" x14ac:dyDescent="0.3">
      <c r="A40" s="86">
        <v>44736</v>
      </c>
      <c r="B40" s="106">
        <f t="shared" si="2"/>
        <v>37</v>
      </c>
      <c r="C40" s="79">
        <v>0.63057988600000003</v>
      </c>
      <c r="D40" s="79">
        <f t="shared" si="0"/>
        <v>15.133917264000001</v>
      </c>
      <c r="E40" s="66">
        <v>34.19</v>
      </c>
      <c r="F40" s="162">
        <f t="shared" si="1"/>
        <v>5.1742863125616001</v>
      </c>
      <c r="G40" s="79"/>
      <c r="H40" s="162"/>
      <c r="I40" s="79"/>
      <c r="J40" s="101"/>
      <c r="K40" s="79"/>
      <c r="L40" s="66"/>
      <c r="M40" s="66"/>
    </row>
    <row r="41" spans="1:19" x14ac:dyDescent="0.3">
      <c r="A41" s="86">
        <v>44737</v>
      </c>
      <c r="B41" s="106">
        <f t="shared" si="2"/>
        <v>38</v>
      </c>
      <c r="C41" s="79">
        <v>0.53739256199999996</v>
      </c>
      <c r="D41" s="79">
        <f t="shared" si="0"/>
        <v>12.897421487999999</v>
      </c>
      <c r="E41" s="66">
        <v>34.19</v>
      </c>
      <c r="F41" s="162">
        <f t="shared" si="1"/>
        <v>4.4096284067471991</v>
      </c>
      <c r="G41" s="79"/>
      <c r="H41" s="162"/>
      <c r="I41" s="79"/>
      <c r="J41" s="101"/>
      <c r="K41" s="79"/>
      <c r="L41" s="66"/>
      <c r="M41" s="66"/>
    </row>
    <row r="42" spans="1:19" x14ac:dyDescent="0.3">
      <c r="A42" s="86">
        <v>44738</v>
      </c>
      <c r="B42" s="106">
        <f t="shared" si="2"/>
        <v>39</v>
      </c>
      <c r="C42" s="79">
        <v>0.49572696199999999</v>
      </c>
      <c r="D42" s="79">
        <f t="shared" si="0"/>
        <v>11.897447088</v>
      </c>
      <c r="E42" s="66">
        <v>34.19</v>
      </c>
      <c r="F42" s="162">
        <f t="shared" si="1"/>
        <v>4.0677371593871996</v>
      </c>
      <c r="G42" s="79"/>
      <c r="H42" s="162"/>
      <c r="I42" s="79"/>
      <c r="J42" s="101"/>
      <c r="K42" s="79"/>
      <c r="L42" s="66"/>
      <c r="M42" s="66"/>
    </row>
    <row r="43" spans="1:19" x14ac:dyDescent="0.3">
      <c r="A43" s="86">
        <v>44739</v>
      </c>
      <c r="B43" s="106">
        <f t="shared" si="2"/>
        <v>40</v>
      </c>
      <c r="C43" s="79">
        <v>0.69792800899999996</v>
      </c>
      <c r="D43" s="79">
        <f t="shared" si="0"/>
        <v>16.750272215999999</v>
      </c>
      <c r="E43" s="66">
        <v>51.95</v>
      </c>
      <c r="F43" s="162">
        <f t="shared" si="1"/>
        <v>8.701766416212001</v>
      </c>
      <c r="G43" s="79">
        <v>152.61988853271814</v>
      </c>
      <c r="H43" s="162">
        <f t="shared" si="4"/>
        <v>7.3257546495704706E-3</v>
      </c>
      <c r="I43" s="79">
        <f t="shared" si="3"/>
        <v>1.1878320845378312</v>
      </c>
      <c r="J43" s="101"/>
      <c r="K43" s="79"/>
      <c r="L43" s="66"/>
      <c r="M43" s="66"/>
    </row>
    <row r="44" spans="1:19" x14ac:dyDescent="0.3">
      <c r="A44" s="86">
        <v>44740</v>
      </c>
      <c r="B44" s="106">
        <f t="shared" si="2"/>
        <v>41</v>
      </c>
      <c r="C44" s="79">
        <v>0.45413163600000001</v>
      </c>
      <c r="D44" s="79">
        <f t="shared" si="0"/>
        <v>10.899159264</v>
      </c>
      <c r="E44" s="66">
        <v>51.95</v>
      </c>
      <c r="F44" s="162">
        <f t="shared" si="1"/>
        <v>5.6621132376479997</v>
      </c>
      <c r="G44" s="79"/>
      <c r="H44" s="162"/>
      <c r="I44" s="79"/>
      <c r="J44" s="101"/>
      <c r="K44" s="79"/>
      <c r="L44" s="66"/>
      <c r="M44" s="66"/>
    </row>
    <row r="45" spans="1:19" x14ac:dyDescent="0.3">
      <c r="A45" s="105">
        <v>44741</v>
      </c>
      <c r="B45" s="106">
        <f t="shared" si="2"/>
        <v>42</v>
      </c>
      <c r="C45" s="79">
        <v>0.33713828899999998</v>
      </c>
      <c r="D45" s="79">
        <f t="shared" si="0"/>
        <v>8.0913189360000004</v>
      </c>
      <c r="E45" s="66"/>
      <c r="F45" s="162"/>
      <c r="G45" s="79">
        <v>170.63955371094528</v>
      </c>
      <c r="H45" s="162">
        <f>G45/1000/1000*K45</f>
        <v>7.4802543382048352E-3</v>
      </c>
      <c r="I45" s="79"/>
      <c r="J45" s="101">
        <v>9.1326207000000006E-2</v>
      </c>
      <c r="K45" s="79">
        <f>J45*L45*60/(L45+M45)*24</f>
        <v>43.836579360000002</v>
      </c>
      <c r="L45" s="66">
        <v>10</v>
      </c>
      <c r="M45" s="66">
        <v>20</v>
      </c>
      <c r="N45" s="151"/>
      <c r="O45" s="151"/>
      <c r="R45" s="151"/>
      <c r="S45" s="151"/>
    </row>
    <row r="46" spans="1:19" x14ac:dyDescent="0.3">
      <c r="A46" s="86">
        <v>44742</v>
      </c>
      <c r="B46" s="106">
        <f t="shared" si="2"/>
        <v>43</v>
      </c>
      <c r="C46" s="79">
        <v>0.34945238099999998</v>
      </c>
      <c r="D46" s="79">
        <f t="shared" si="0"/>
        <v>8.3868571440000004</v>
      </c>
      <c r="E46" s="66"/>
      <c r="F46" s="162"/>
      <c r="G46" s="79"/>
      <c r="H46" s="162"/>
      <c r="I46" s="79"/>
      <c r="J46" s="101">
        <v>8.0481559999999994E-2</v>
      </c>
      <c r="K46" s="79">
        <f t="shared" ref="K46:K102" si="5">J46*L46*60/(L46+M46)*24</f>
        <v>57.946723199999994</v>
      </c>
      <c r="L46" s="66">
        <v>15</v>
      </c>
      <c r="M46" s="66">
        <v>15</v>
      </c>
    </row>
    <row r="47" spans="1:19" x14ac:dyDescent="0.3">
      <c r="A47" s="86">
        <v>44743</v>
      </c>
      <c r="B47" s="106">
        <f t="shared" si="2"/>
        <v>44</v>
      </c>
      <c r="C47" s="79"/>
      <c r="D47" s="79"/>
      <c r="E47" s="66">
        <v>70.05</v>
      </c>
      <c r="F47" s="162"/>
      <c r="G47" s="79">
        <v>926.82292886444384</v>
      </c>
      <c r="H47" s="162">
        <f t="shared" ref="H47:H102" si="6">G47/1000/1000*K47</f>
        <v>5.3131935779886404E-2</v>
      </c>
      <c r="I47" s="79"/>
      <c r="J47" s="101">
        <v>7.9620769999999993E-2</v>
      </c>
      <c r="K47" s="79">
        <f t="shared" si="5"/>
        <v>57.326954399999991</v>
      </c>
      <c r="L47" s="66">
        <v>10</v>
      </c>
      <c r="M47" s="66">
        <v>10</v>
      </c>
    </row>
    <row r="48" spans="1:19" x14ac:dyDescent="0.3">
      <c r="A48" s="86">
        <v>44744</v>
      </c>
      <c r="B48" s="106">
        <f t="shared" si="2"/>
        <v>45</v>
      </c>
      <c r="C48" s="79"/>
      <c r="D48" s="79"/>
      <c r="E48" s="66">
        <v>70.05</v>
      </c>
      <c r="F48" s="162"/>
      <c r="G48" s="79"/>
      <c r="H48" s="162"/>
      <c r="I48" s="79"/>
      <c r="J48" s="101"/>
      <c r="K48" s="79"/>
      <c r="L48" s="66">
        <v>10</v>
      </c>
      <c r="M48" s="66">
        <v>10</v>
      </c>
    </row>
    <row r="49" spans="1:13" x14ac:dyDescent="0.3">
      <c r="A49" s="86">
        <v>44745</v>
      </c>
      <c r="B49" s="106">
        <f t="shared" si="2"/>
        <v>46</v>
      </c>
      <c r="C49" s="79"/>
      <c r="D49" s="79"/>
      <c r="E49" s="66">
        <v>70.05</v>
      </c>
      <c r="F49" s="162"/>
      <c r="G49" s="79"/>
      <c r="H49" s="162"/>
      <c r="I49" s="79"/>
      <c r="J49" s="101"/>
      <c r="K49" s="79"/>
      <c r="L49" s="66">
        <v>10</v>
      </c>
      <c r="M49" s="66">
        <v>10</v>
      </c>
    </row>
    <row r="50" spans="1:13" x14ac:dyDescent="0.3">
      <c r="A50" s="86">
        <v>44746</v>
      </c>
      <c r="B50" s="106">
        <f t="shared" si="2"/>
        <v>47</v>
      </c>
      <c r="C50" s="79">
        <v>0.45711173199999999</v>
      </c>
      <c r="D50" s="79">
        <f t="shared" si="0"/>
        <v>10.970681568</v>
      </c>
      <c r="E50" s="66">
        <v>70.05</v>
      </c>
      <c r="F50" s="162">
        <f t="shared" si="1"/>
        <v>7.6849624383839998</v>
      </c>
      <c r="G50" s="79">
        <v>487.32224956290685</v>
      </c>
      <c r="H50" s="162">
        <f t="shared" si="6"/>
        <v>2.5439022468004679E-2</v>
      </c>
      <c r="I50" s="79">
        <f t="shared" si="3"/>
        <v>0.30209346479604621</v>
      </c>
      <c r="J50" s="101">
        <v>0.217506849</v>
      </c>
      <c r="K50" s="79">
        <f t="shared" si="5"/>
        <v>52.201643760000003</v>
      </c>
      <c r="L50" s="66">
        <v>10</v>
      </c>
      <c r="M50" s="66">
        <v>50</v>
      </c>
    </row>
    <row r="51" spans="1:13" x14ac:dyDescent="0.3">
      <c r="A51" s="86">
        <v>44747</v>
      </c>
      <c r="B51" s="106">
        <f t="shared" si="2"/>
        <v>48</v>
      </c>
      <c r="C51" s="79">
        <v>0.38820332000000002</v>
      </c>
      <c r="D51" s="79">
        <f t="shared" si="0"/>
        <v>9.3168796799999996</v>
      </c>
      <c r="E51" s="66">
        <v>70.05</v>
      </c>
      <c r="F51" s="162">
        <f t="shared" si="1"/>
        <v>6.5264742158399995</v>
      </c>
      <c r="G51" s="79">
        <v>1009.2458044563059</v>
      </c>
      <c r="H51" s="162">
        <f t="shared" si="6"/>
        <v>5.321583565528986E-2</v>
      </c>
      <c r="I51" s="79">
        <f t="shared" si="3"/>
        <v>0.12264158094060189</v>
      </c>
      <c r="J51" s="101">
        <v>0.219701333</v>
      </c>
      <c r="K51" s="79">
        <f t="shared" si="5"/>
        <v>52.728319919999997</v>
      </c>
      <c r="L51" s="66">
        <v>10</v>
      </c>
      <c r="M51" s="66">
        <v>50</v>
      </c>
    </row>
    <row r="52" spans="1:13" x14ac:dyDescent="0.3">
      <c r="A52" s="86">
        <v>44748</v>
      </c>
      <c r="B52" s="106">
        <f t="shared" si="2"/>
        <v>49</v>
      </c>
      <c r="C52" s="79"/>
      <c r="D52" s="79"/>
      <c r="E52" s="66">
        <v>70.05</v>
      </c>
      <c r="F52" s="162"/>
      <c r="G52" s="79">
        <v>212.10631861618552</v>
      </c>
      <c r="H52" s="162">
        <f t="shared" si="6"/>
        <v>1.0923054250427311E-2</v>
      </c>
      <c r="I52" s="79">
        <f t="shared" si="3"/>
        <v>0</v>
      </c>
      <c r="J52" s="101">
        <v>0.21457506000000001</v>
      </c>
      <c r="K52" s="79">
        <f t="shared" si="5"/>
        <v>51.498014400000002</v>
      </c>
      <c r="L52" s="66">
        <v>10</v>
      </c>
      <c r="M52" s="66">
        <v>50</v>
      </c>
    </row>
    <row r="53" spans="1:13" x14ac:dyDescent="0.3">
      <c r="A53" s="86">
        <v>44749</v>
      </c>
      <c r="B53" s="106">
        <f t="shared" si="2"/>
        <v>50</v>
      </c>
      <c r="C53" s="79"/>
      <c r="D53" s="79"/>
      <c r="E53" s="66">
        <v>57.76</v>
      </c>
      <c r="F53" s="162"/>
      <c r="G53" s="79"/>
      <c r="H53" s="162"/>
      <c r="I53" s="79"/>
      <c r="J53" s="101">
        <v>0.221278107</v>
      </c>
      <c r="K53" s="79">
        <f t="shared" si="5"/>
        <v>53.106745680000003</v>
      </c>
      <c r="L53" s="66">
        <v>10</v>
      </c>
      <c r="M53" s="66">
        <v>50</v>
      </c>
    </row>
    <row r="54" spans="1:13" x14ac:dyDescent="0.3">
      <c r="A54" s="86">
        <v>44750</v>
      </c>
      <c r="B54" s="106">
        <f t="shared" si="2"/>
        <v>51</v>
      </c>
      <c r="C54" s="79">
        <v>0.57271969700000003</v>
      </c>
      <c r="D54" s="79">
        <f t="shared" si="0"/>
        <v>13.745272728</v>
      </c>
      <c r="E54" s="66">
        <v>47.52</v>
      </c>
      <c r="F54" s="162">
        <f t="shared" si="1"/>
        <v>6.5317536003456009</v>
      </c>
      <c r="G54" s="79">
        <v>464.03520446119035</v>
      </c>
      <c r="H54" s="162">
        <f t="shared" si="6"/>
        <v>2.4979801131782234E-2</v>
      </c>
      <c r="I54" s="79">
        <f t="shared" si="3"/>
        <v>0.2614814091548206</v>
      </c>
      <c r="J54" s="101">
        <v>0.224298725</v>
      </c>
      <c r="K54" s="79">
        <f t="shared" si="5"/>
        <v>53.831693999999999</v>
      </c>
      <c r="L54" s="66">
        <v>10</v>
      </c>
      <c r="M54" s="66">
        <v>50</v>
      </c>
    </row>
    <row r="55" spans="1:13" x14ac:dyDescent="0.3">
      <c r="A55" s="86">
        <v>44751</v>
      </c>
      <c r="B55" s="106">
        <f t="shared" si="2"/>
        <v>52</v>
      </c>
      <c r="C55" s="79">
        <v>0.49890506299999998</v>
      </c>
      <c r="D55" s="79">
        <f t="shared" si="0"/>
        <v>11.973721511999999</v>
      </c>
      <c r="E55" s="66">
        <v>47.52</v>
      </c>
      <c r="F55" s="162">
        <f t="shared" si="1"/>
        <v>5.6899124625024005</v>
      </c>
      <c r="G55" s="79"/>
      <c r="H55" s="162"/>
      <c r="I55" s="79"/>
      <c r="J55" s="101">
        <v>0.21496478899999999</v>
      </c>
      <c r="K55" s="79">
        <f t="shared" si="5"/>
        <v>51.591549359999995</v>
      </c>
      <c r="L55" s="66">
        <v>10</v>
      </c>
      <c r="M55" s="66">
        <v>50</v>
      </c>
    </row>
    <row r="56" spans="1:13" x14ac:dyDescent="0.3">
      <c r="A56" s="86">
        <v>44752</v>
      </c>
      <c r="B56" s="106">
        <f t="shared" si="2"/>
        <v>53</v>
      </c>
      <c r="C56" s="79"/>
      <c r="D56" s="79"/>
      <c r="E56" s="66">
        <v>47.52</v>
      </c>
      <c r="F56" s="162">
        <f t="shared" si="1"/>
        <v>0</v>
      </c>
      <c r="G56" s="79"/>
      <c r="H56" s="162"/>
      <c r="I56" s="79"/>
      <c r="J56" s="101">
        <v>0.19529964699999999</v>
      </c>
      <c r="K56" s="79">
        <f t="shared" si="5"/>
        <v>46.871915279999996</v>
      </c>
      <c r="L56" s="66">
        <v>10</v>
      </c>
      <c r="M56" s="66">
        <v>50</v>
      </c>
    </row>
    <row r="57" spans="1:13" x14ac:dyDescent="0.3">
      <c r="A57" s="86">
        <v>44753</v>
      </c>
      <c r="B57" s="106">
        <f t="shared" si="2"/>
        <v>54</v>
      </c>
      <c r="C57" s="79">
        <v>0.52330165299999998</v>
      </c>
      <c r="D57" s="79">
        <f t="shared" si="0"/>
        <v>12.559239672</v>
      </c>
      <c r="E57" s="66">
        <v>47.52</v>
      </c>
      <c r="F57" s="162">
        <f t="shared" si="1"/>
        <v>5.968150692134401</v>
      </c>
      <c r="G57" s="79">
        <v>58.985002334489366</v>
      </c>
      <c r="H57" s="162">
        <f t="shared" si="6"/>
        <v>2.8529290848967061E-3</v>
      </c>
      <c r="I57" s="79">
        <f t="shared" si="3"/>
        <v>2.0919379748096634</v>
      </c>
      <c r="J57" s="101">
        <v>0.20152927100000001</v>
      </c>
      <c r="K57" s="79">
        <f t="shared" si="5"/>
        <v>48.367025040000001</v>
      </c>
      <c r="L57" s="66">
        <v>10</v>
      </c>
      <c r="M57" s="66">
        <v>50</v>
      </c>
    </row>
    <row r="58" spans="1:13" x14ac:dyDescent="0.3">
      <c r="A58" s="86">
        <v>44754</v>
      </c>
      <c r="B58" s="106">
        <f t="shared" si="2"/>
        <v>55</v>
      </c>
      <c r="C58" s="79">
        <v>0.589303303</v>
      </c>
      <c r="D58" s="79">
        <f t="shared" si="0"/>
        <v>14.143279272000001</v>
      </c>
      <c r="E58" s="66">
        <v>47.52</v>
      </c>
      <c r="F58" s="162">
        <f t="shared" si="1"/>
        <v>6.720886310054401</v>
      </c>
      <c r="G58" s="79"/>
      <c r="H58" s="162"/>
      <c r="I58" s="79"/>
      <c r="J58" s="101">
        <v>0.19788235300000001</v>
      </c>
      <c r="K58" s="79">
        <f t="shared" si="5"/>
        <v>47.491764720000006</v>
      </c>
      <c r="L58" s="66">
        <v>10</v>
      </c>
      <c r="M58" s="66">
        <v>50</v>
      </c>
    </row>
    <row r="59" spans="1:13" x14ac:dyDescent="0.3">
      <c r="A59" s="86">
        <v>44755</v>
      </c>
      <c r="B59" s="106">
        <f t="shared" si="2"/>
        <v>56</v>
      </c>
      <c r="C59" s="79">
        <v>0.58038671900000005</v>
      </c>
      <c r="D59" s="79">
        <f t="shared" si="0"/>
        <v>13.929281256000001</v>
      </c>
      <c r="E59" s="66">
        <v>47.52</v>
      </c>
      <c r="F59" s="162">
        <f t="shared" si="1"/>
        <v>6.6191944528512012</v>
      </c>
      <c r="G59" s="79">
        <v>248.75824887232284</v>
      </c>
      <c r="H59" s="162">
        <f t="shared" si="6"/>
        <v>1.1269473217142221E-2</v>
      </c>
      <c r="I59" s="79">
        <f t="shared" si="3"/>
        <v>0.58735615457008339</v>
      </c>
      <c r="J59" s="101">
        <v>0.188762136</v>
      </c>
      <c r="K59" s="79">
        <f t="shared" si="5"/>
        <v>45.302912640000002</v>
      </c>
      <c r="L59" s="66">
        <v>10</v>
      </c>
      <c r="M59" s="66">
        <v>50</v>
      </c>
    </row>
    <row r="60" spans="1:13" x14ac:dyDescent="0.3">
      <c r="A60" s="86">
        <v>44756</v>
      </c>
      <c r="B60" s="106">
        <f t="shared" si="2"/>
        <v>57</v>
      </c>
      <c r="C60" s="79">
        <v>0.47832662500000001</v>
      </c>
      <c r="D60" s="79">
        <f t="shared" si="0"/>
        <v>11.479839</v>
      </c>
      <c r="E60" s="66"/>
      <c r="F60" s="162">
        <f t="shared" si="1"/>
        <v>0</v>
      </c>
      <c r="G60" s="79"/>
      <c r="H60" s="162"/>
      <c r="I60" s="79"/>
      <c r="J60" s="101">
        <v>0.198102625</v>
      </c>
      <c r="K60" s="79">
        <f t="shared" si="5"/>
        <v>47.544629999999998</v>
      </c>
      <c r="L60" s="66">
        <v>10</v>
      </c>
      <c r="M60" s="66">
        <v>50</v>
      </c>
    </row>
    <row r="61" spans="1:13" x14ac:dyDescent="0.3">
      <c r="A61" s="86">
        <v>44757</v>
      </c>
      <c r="B61" s="106">
        <f t="shared" si="2"/>
        <v>58</v>
      </c>
      <c r="C61" s="79">
        <v>0.47189597300000002</v>
      </c>
      <c r="D61" s="79">
        <f t="shared" si="0"/>
        <v>11.325503352</v>
      </c>
      <c r="E61" s="66">
        <v>48.3</v>
      </c>
      <c r="F61" s="162">
        <f t="shared" si="1"/>
        <v>5.4702181190159997</v>
      </c>
      <c r="G61" s="79">
        <v>209.34557389376275</v>
      </c>
      <c r="H61" s="162">
        <f t="shared" si="6"/>
        <v>9.8791672555152386E-3</v>
      </c>
      <c r="I61" s="79">
        <f t="shared" si="3"/>
        <v>0.55371247166223891</v>
      </c>
      <c r="J61" s="101">
        <v>0.19662797800000001</v>
      </c>
      <c r="K61" s="79">
        <f t="shared" si="5"/>
        <v>47.190714720000003</v>
      </c>
      <c r="L61" s="66">
        <v>10</v>
      </c>
      <c r="M61" s="66">
        <v>50</v>
      </c>
    </row>
    <row r="62" spans="1:13" x14ac:dyDescent="0.3">
      <c r="A62" s="86">
        <v>44758</v>
      </c>
      <c r="B62" s="106">
        <f t="shared" si="2"/>
        <v>59</v>
      </c>
      <c r="C62" s="79">
        <v>0.423739857</v>
      </c>
      <c r="D62" s="79">
        <f t="shared" si="0"/>
        <v>10.169756568</v>
      </c>
      <c r="E62" s="66">
        <v>48.3</v>
      </c>
      <c r="F62" s="162">
        <f t="shared" si="1"/>
        <v>4.9119924223440004</v>
      </c>
      <c r="G62" s="79"/>
      <c r="H62" s="162"/>
      <c r="I62" s="79"/>
      <c r="J62" s="101">
        <v>0.194954128</v>
      </c>
      <c r="K62" s="79">
        <f t="shared" si="5"/>
        <v>46.788990720000008</v>
      </c>
      <c r="L62" s="66">
        <v>10</v>
      </c>
      <c r="M62" s="66">
        <v>50</v>
      </c>
    </row>
    <row r="63" spans="1:13" x14ac:dyDescent="0.3">
      <c r="A63" s="86">
        <v>44759</v>
      </c>
      <c r="B63" s="106">
        <f t="shared" si="2"/>
        <v>60</v>
      </c>
      <c r="C63" s="79">
        <v>0.404093023</v>
      </c>
      <c r="D63" s="79">
        <f t="shared" si="0"/>
        <v>9.6982325520000003</v>
      </c>
      <c r="E63" s="66">
        <v>48.3</v>
      </c>
      <c r="F63" s="162">
        <f t="shared" si="1"/>
        <v>4.6842463226159996</v>
      </c>
      <c r="G63" s="79"/>
      <c r="H63" s="162"/>
      <c r="I63" s="79"/>
      <c r="J63" s="101">
        <v>0.17562757800000001</v>
      </c>
      <c r="K63" s="79">
        <f t="shared" si="5"/>
        <v>42.150618720000004</v>
      </c>
      <c r="L63" s="66">
        <v>10</v>
      </c>
      <c r="M63" s="66">
        <v>50</v>
      </c>
    </row>
    <row r="64" spans="1:13" x14ac:dyDescent="0.3">
      <c r="A64" s="86">
        <v>44760</v>
      </c>
      <c r="B64" s="106">
        <f t="shared" si="2"/>
        <v>61</v>
      </c>
      <c r="C64" s="79">
        <v>0.50421809699999998</v>
      </c>
      <c r="D64" s="79">
        <f t="shared" si="0"/>
        <v>12.101234328</v>
      </c>
      <c r="E64" s="66">
        <v>48.3</v>
      </c>
      <c r="F64" s="162">
        <f t="shared" si="1"/>
        <v>5.8448961804240005</v>
      </c>
      <c r="G64" s="79"/>
      <c r="H64" s="162"/>
      <c r="I64" s="79"/>
      <c r="J64" s="101">
        <v>0.170724036</v>
      </c>
      <c r="K64" s="79">
        <f t="shared" si="5"/>
        <v>40.973768639999996</v>
      </c>
      <c r="L64" s="66">
        <v>10</v>
      </c>
      <c r="M64" s="66">
        <v>50</v>
      </c>
    </row>
    <row r="65" spans="1:13" x14ac:dyDescent="0.3">
      <c r="A65" s="86">
        <v>44761</v>
      </c>
      <c r="B65" s="106">
        <f t="shared" si="2"/>
        <v>62</v>
      </c>
      <c r="C65" s="79">
        <v>0.39589212800000001</v>
      </c>
      <c r="D65" s="79">
        <f t="shared" si="0"/>
        <v>9.5014110719999998</v>
      </c>
      <c r="E65" s="66">
        <v>48.3</v>
      </c>
      <c r="F65" s="162">
        <f t="shared" si="1"/>
        <v>4.5891815477759996</v>
      </c>
      <c r="G65" s="79"/>
      <c r="H65" s="162"/>
      <c r="I65" s="79"/>
      <c r="J65" s="101">
        <v>0.16704138399999999</v>
      </c>
      <c r="K65" s="79">
        <f t="shared" si="5"/>
        <v>40.089932159999996</v>
      </c>
      <c r="L65" s="66">
        <v>10</v>
      </c>
      <c r="M65" s="66">
        <v>50</v>
      </c>
    </row>
    <row r="66" spans="1:13" x14ac:dyDescent="0.3">
      <c r="A66" s="86">
        <v>44762</v>
      </c>
      <c r="B66" s="106">
        <f t="shared" si="2"/>
        <v>63</v>
      </c>
      <c r="C66" s="79">
        <v>0.54320210000000002</v>
      </c>
      <c r="D66" s="79">
        <f t="shared" si="0"/>
        <v>13.036850400000001</v>
      </c>
      <c r="E66" s="66">
        <v>48.3</v>
      </c>
      <c r="F66" s="162">
        <f t="shared" si="1"/>
        <v>6.2967987431999992</v>
      </c>
      <c r="G66" s="79">
        <v>880.67034997108135</v>
      </c>
      <c r="H66" s="162">
        <f t="shared" si="6"/>
        <v>4.227018091778436E-2</v>
      </c>
      <c r="I66" s="79">
        <f t="shared" si="3"/>
        <v>0.14896550254770125</v>
      </c>
      <c r="J66" s="101">
        <v>0.19999055700000001</v>
      </c>
      <c r="K66" s="79">
        <f t="shared" si="5"/>
        <v>47.997733680000003</v>
      </c>
      <c r="L66" s="66">
        <v>10</v>
      </c>
      <c r="M66" s="66">
        <v>50</v>
      </c>
    </row>
    <row r="67" spans="1:13" x14ac:dyDescent="0.3">
      <c r="A67" s="86">
        <v>44763</v>
      </c>
      <c r="B67" s="106">
        <f t="shared" si="2"/>
        <v>64</v>
      </c>
      <c r="C67" s="79">
        <v>0.543332237</v>
      </c>
      <c r="D67" s="79">
        <f t="shared" si="0"/>
        <v>13.039973688</v>
      </c>
      <c r="E67" s="66"/>
      <c r="F67" s="162"/>
      <c r="G67" s="79"/>
      <c r="H67" s="162"/>
      <c r="I67" s="79"/>
      <c r="J67" s="101">
        <v>0.218858314</v>
      </c>
      <c r="K67" s="79">
        <f t="shared" si="5"/>
        <v>52.525995359999996</v>
      </c>
      <c r="L67" s="66">
        <v>10</v>
      </c>
      <c r="M67" s="66">
        <v>50</v>
      </c>
    </row>
    <row r="68" spans="1:13" x14ac:dyDescent="0.3">
      <c r="A68" s="86">
        <v>44764</v>
      </c>
      <c r="B68" s="106">
        <f t="shared" si="2"/>
        <v>65</v>
      </c>
      <c r="C68" s="79">
        <v>0.45323333300000002</v>
      </c>
      <c r="D68" s="79">
        <f t="shared" si="0"/>
        <v>10.877599992</v>
      </c>
      <c r="E68" s="66">
        <v>37.75</v>
      </c>
      <c r="F68" s="162">
        <f t="shared" ref="F68:F94" si="7">D68*E68/100</f>
        <v>4.1062939969800007</v>
      </c>
      <c r="G68" s="79">
        <v>466.59901025177436</v>
      </c>
      <c r="H68" s="162">
        <f t="shared" si="6"/>
        <v>2.2721780211373482E-2</v>
      </c>
      <c r="I68" s="79">
        <f t="shared" ref="I68:I94" si="8">F68/1000/H68</f>
        <v>0.18072061074354456</v>
      </c>
      <c r="J68" s="101">
        <v>0.20290245400000001</v>
      </c>
      <c r="K68" s="79">
        <f t="shared" si="5"/>
        <v>48.69658896</v>
      </c>
      <c r="L68" s="66">
        <v>10</v>
      </c>
      <c r="M68" s="66">
        <v>50</v>
      </c>
    </row>
    <row r="69" spans="1:13" x14ac:dyDescent="0.3">
      <c r="A69" s="86">
        <v>44765</v>
      </c>
      <c r="B69" s="106">
        <f t="shared" si="2"/>
        <v>66</v>
      </c>
      <c r="C69" s="79">
        <v>0.37172829099999999</v>
      </c>
      <c r="D69" s="79">
        <f t="shared" si="0"/>
        <v>8.9214789840000002</v>
      </c>
      <c r="E69" s="66">
        <v>37.75</v>
      </c>
      <c r="F69" s="162">
        <f t="shared" si="7"/>
        <v>3.36785831646</v>
      </c>
      <c r="G69" s="79"/>
      <c r="H69" s="162"/>
      <c r="I69" s="79"/>
      <c r="J69" s="101">
        <v>0.204853286</v>
      </c>
      <c r="K69" s="79">
        <f t="shared" si="5"/>
        <v>49.164788639999998</v>
      </c>
      <c r="L69" s="66">
        <v>10</v>
      </c>
      <c r="M69" s="66">
        <v>50</v>
      </c>
    </row>
    <row r="70" spans="1:13" x14ac:dyDescent="0.3">
      <c r="A70" s="86">
        <v>44766</v>
      </c>
      <c r="B70" s="106">
        <f t="shared" si="2"/>
        <v>67</v>
      </c>
      <c r="C70" s="79">
        <v>0.4093</v>
      </c>
      <c r="D70" s="79">
        <f t="shared" ref="D70:D94" si="9">C70*24</f>
        <v>9.8231999999999999</v>
      </c>
      <c r="E70" s="66">
        <v>37.75</v>
      </c>
      <c r="F70" s="162">
        <f t="shared" si="7"/>
        <v>3.7082580000000003</v>
      </c>
      <c r="G70" s="79"/>
      <c r="H70" s="162"/>
      <c r="I70" s="79"/>
      <c r="J70" s="101">
        <v>0.18150807899999999</v>
      </c>
      <c r="K70" s="79">
        <f t="shared" si="5"/>
        <v>43.561938959999999</v>
      </c>
      <c r="L70" s="66">
        <v>10</v>
      </c>
      <c r="M70" s="66">
        <v>50</v>
      </c>
    </row>
    <row r="71" spans="1:13" x14ac:dyDescent="0.3">
      <c r="A71" s="105">
        <v>44767</v>
      </c>
      <c r="B71" s="106">
        <f t="shared" ref="B71:B134" si="10">A71-A70+B70</f>
        <v>68</v>
      </c>
      <c r="C71" s="79">
        <v>0.60157142900000005</v>
      </c>
      <c r="D71" s="79">
        <f t="shared" si="9"/>
        <v>14.437714296000001</v>
      </c>
      <c r="E71" s="66">
        <v>37.75</v>
      </c>
      <c r="F71" s="162">
        <f t="shared" si="7"/>
        <v>5.450237146740001</v>
      </c>
      <c r="G71" s="79"/>
      <c r="H71" s="162"/>
      <c r="I71" s="79"/>
      <c r="J71" s="101">
        <v>0</v>
      </c>
      <c r="K71" s="79">
        <v>0</v>
      </c>
      <c r="L71" s="66">
        <v>0</v>
      </c>
      <c r="M71" s="66">
        <v>0</v>
      </c>
    </row>
    <row r="72" spans="1:13" x14ac:dyDescent="0.3">
      <c r="A72" s="86">
        <v>44768</v>
      </c>
      <c r="B72" s="106">
        <f t="shared" si="10"/>
        <v>69</v>
      </c>
      <c r="C72" s="79">
        <v>0.69784105399999996</v>
      </c>
      <c r="D72" s="79">
        <f t="shared" si="9"/>
        <v>16.748185295999999</v>
      </c>
      <c r="E72" s="66"/>
      <c r="F72" s="162"/>
      <c r="G72" s="79">
        <v>180.05201177274364</v>
      </c>
      <c r="H72" s="162">
        <f t="shared" si="6"/>
        <v>9.1011053733953805E-3</v>
      </c>
      <c r="I72" s="79"/>
      <c r="J72" s="101">
        <v>0.210612878</v>
      </c>
      <c r="K72" s="79">
        <f t="shared" si="5"/>
        <v>50.54709072</v>
      </c>
      <c r="L72" s="66">
        <v>10</v>
      </c>
      <c r="M72" s="66">
        <v>50</v>
      </c>
    </row>
    <row r="73" spans="1:13" x14ac:dyDescent="0.3">
      <c r="A73" s="86">
        <v>44769</v>
      </c>
      <c r="B73" s="106">
        <f t="shared" si="10"/>
        <v>70</v>
      </c>
      <c r="C73" s="79">
        <v>0.40167404099999998</v>
      </c>
      <c r="D73" s="79">
        <f t="shared" si="9"/>
        <v>9.640176984</v>
      </c>
      <c r="E73" s="66"/>
      <c r="F73" s="162"/>
      <c r="G73" s="79">
        <v>56.885577655575155</v>
      </c>
      <c r="H73" s="162">
        <f t="shared" si="6"/>
        <v>2.775255847859431E-3</v>
      </c>
      <c r="I73" s="79"/>
      <c r="J73" s="101">
        <v>0.20327764100000001</v>
      </c>
      <c r="K73" s="79">
        <f t="shared" si="5"/>
        <v>48.786633840000007</v>
      </c>
      <c r="L73" s="66">
        <v>10</v>
      </c>
      <c r="M73" s="66">
        <v>50</v>
      </c>
    </row>
    <row r="74" spans="1:13" x14ac:dyDescent="0.3">
      <c r="A74" s="86">
        <v>44770</v>
      </c>
      <c r="B74" s="106">
        <f t="shared" si="10"/>
        <v>71</v>
      </c>
      <c r="C74" s="79">
        <v>0.394290484</v>
      </c>
      <c r="D74" s="79">
        <f t="shared" si="9"/>
        <v>9.4629716160000008</v>
      </c>
      <c r="E74" s="66"/>
      <c r="F74" s="162"/>
      <c r="G74" s="79">
        <v>374.37155895353845</v>
      </c>
      <c r="H74" s="162">
        <f t="shared" si="6"/>
        <v>1.8555735004952303E-2</v>
      </c>
      <c r="I74" s="79"/>
      <c r="J74" s="101">
        <v>0.20652092999999999</v>
      </c>
      <c r="K74" s="79">
        <f t="shared" si="5"/>
        <v>49.565023199999999</v>
      </c>
      <c r="L74" s="66">
        <v>10</v>
      </c>
      <c r="M74" s="66">
        <v>50</v>
      </c>
    </row>
    <row r="75" spans="1:13" x14ac:dyDescent="0.3">
      <c r="A75" s="86">
        <v>44771</v>
      </c>
      <c r="B75" s="106">
        <f t="shared" si="10"/>
        <v>72</v>
      </c>
      <c r="C75" s="79">
        <v>0.46373408199999999</v>
      </c>
      <c r="D75" s="79">
        <f t="shared" si="9"/>
        <v>11.129617968</v>
      </c>
      <c r="E75" s="66">
        <v>47.54</v>
      </c>
      <c r="F75" s="162">
        <f t="shared" si="7"/>
        <v>5.2910203819872006</v>
      </c>
      <c r="G75" s="79">
        <v>219.64910074397255</v>
      </c>
      <c r="H75" s="162">
        <f t="shared" si="6"/>
        <v>1.1434452277803977E-2</v>
      </c>
      <c r="I75" s="79">
        <f t="shared" si="8"/>
        <v>0.4627261764219246</v>
      </c>
      <c r="J75" s="101">
        <v>0.216907563</v>
      </c>
      <c r="K75" s="79">
        <f t="shared" si="5"/>
        <v>52.057815120000001</v>
      </c>
      <c r="L75" s="66">
        <v>10</v>
      </c>
      <c r="M75" s="66">
        <v>50</v>
      </c>
    </row>
    <row r="76" spans="1:13" x14ac:dyDescent="0.3">
      <c r="A76" s="86">
        <v>44772</v>
      </c>
      <c r="B76" s="106">
        <f t="shared" si="10"/>
        <v>73</v>
      </c>
      <c r="C76" s="79">
        <v>0.42024262299999998</v>
      </c>
      <c r="D76" s="79">
        <f t="shared" si="9"/>
        <v>10.085822951999999</v>
      </c>
      <c r="E76" s="66">
        <v>47.54</v>
      </c>
      <c r="F76" s="162">
        <f t="shared" si="7"/>
        <v>4.7948002313807994</v>
      </c>
      <c r="G76" s="79"/>
      <c r="H76" s="162"/>
      <c r="I76" s="79"/>
      <c r="J76" s="101">
        <v>0.214826979</v>
      </c>
      <c r="K76" s="79">
        <f t="shared" si="5"/>
        <v>51.558474959999998</v>
      </c>
      <c r="L76" s="66">
        <v>10</v>
      </c>
      <c r="M76" s="66">
        <v>50</v>
      </c>
    </row>
    <row r="77" spans="1:13" x14ac:dyDescent="0.3">
      <c r="A77" s="86">
        <v>44773</v>
      </c>
      <c r="B77" s="106">
        <f t="shared" si="10"/>
        <v>74</v>
      </c>
      <c r="C77" s="79">
        <v>0.47992461199999997</v>
      </c>
      <c r="D77" s="79">
        <f t="shared" si="9"/>
        <v>11.518190687999999</v>
      </c>
      <c r="E77" s="66">
        <v>47.54</v>
      </c>
      <c r="F77" s="162">
        <f t="shared" si="7"/>
        <v>5.4757478530752</v>
      </c>
      <c r="G77" s="79"/>
      <c r="H77" s="162"/>
      <c r="I77" s="79"/>
      <c r="J77" s="101">
        <v>0.20013197399999999</v>
      </c>
      <c r="K77" s="79">
        <f t="shared" si="5"/>
        <v>48.031673760000004</v>
      </c>
      <c r="L77" s="66">
        <v>10</v>
      </c>
      <c r="M77" s="66">
        <v>50</v>
      </c>
    </row>
    <row r="78" spans="1:13" x14ac:dyDescent="0.3">
      <c r="A78" s="86">
        <v>44774</v>
      </c>
      <c r="B78" s="106">
        <f t="shared" si="10"/>
        <v>75</v>
      </c>
      <c r="C78" s="79">
        <v>0.45662736500000001</v>
      </c>
      <c r="D78" s="79">
        <f t="shared" si="9"/>
        <v>10.959056759999999</v>
      </c>
      <c r="E78" s="66">
        <v>47.54</v>
      </c>
      <c r="F78" s="162">
        <f t="shared" si="7"/>
        <v>5.2099355837039987</v>
      </c>
      <c r="G78" s="79"/>
      <c r="H78" s="162"/>
      <c r="I78" s="79"/>
      <c r="J78" s="101">
        <v>0.20543062200000001</v>
      </c>
      <c r="K78" s="79">
        <f t="shared" si="5"/>
        <v>49.303349279999999</v>
      </c>
      <c r="L78" s="66">
        <v>10</v>
      </c>
      <c r="M78" s="66">
        <v>50</v>
      </c>
    </row>
    <row r="79" spans="1:13" x14ac:dyDescent="0.3">
      <c r="A79" s="86">
        <v>44775</v>
      </c>
      <c r="B79" s="106">
        <f t="shared" si="10"/>
        <v>76</v>
      </c>
      <c r="C79" s="79">
        <v>0.504337017</v>
      </c>
      <c r="D79" s="79">
        <f t="shared" si="9"/>
        <v>12.104088407999999</v>
      </c>
      <c r="E79" s="66">
        <v>47.54</v>
      </c>
      <c r="F79" s="162">
        <f t="shared" si="7"/>
        <v>5.7542836291631998</v>
      </c>
      <c r="G79" s="79">
        <v>156.28145916545026</v>
      </c>
      <c r="H79" s="162">
        <f t="shared" si="6"/>
        <v>7.6269084324034932E-3</v>
      </c>
      <c r="I79" s="79">
        <f t="shared" si="8"/>
        <v>0.75447131431599379</v>
      </c>
      <c r="J79" s="101">
        <v>0.20334328400000001</v>
      </c>
      <c r="K79" s="79">
        <f t="shared" si="5"/>
        <v>48.802388160000007</v>
      </c>
      <c r="L79" s="66">
        <v>10</v>
      </c>
      <c r="M79" s="66">
        <v>50</v>
      </c>
    </row>
    <row r="80" spans="1:13" x14ac:dyDescent="0.3">
      <c r="A80" s="86">
        <v>44776</v>
      </c>
      <c r="B80" s="106">
        <f t="shared" si="10"/>
        <v>77</v>
      </c>
      <c r="C80" s="79">
        <v>0.123846154</v>
      </c>
      <c r="D80" s="79">
        <f t="shared" si="9"/>
        <v>2.9723076960000001</v>
      </c>
      <c r="E80" s="66">
        <v>51.34</v>
      </c>
      <c r="F80" s="162">
        <f t="shared" si="7"/>
        <v>1.5259827711264</v>
      </c>
      <c r="G80" s="79">
        <v>77.264000436358614</v>
      </c>
      <c r="H80" s="162">
        <f t="shared" si="6"/>
        <v>3.7782500829496852E-3</v>
      </c>
      <c r="I80" s="79">
        <f t="shared" si="8"/>
        <v>0.40388612125300694</v>
      </c>
      <c r="J80" s="101">
        <v>0.203752182</v>
      </c>
      <c r="K80" s="79">
        <f t="shared" si="5"/>
        <v>48.900523680000006</v>
      </c>
      <c r="L80" s="66">
        <v>10</v>
      </c>
      <c r="M80" s="66">
        <v>50</v>
      </c>
    </row>
    <row r="81" spans="1:13" x14ac:dyDescent="0.3">
      <c r="A81" s="86">
        <v>44777</v>
      </c>
      <c r="B81" s="106">
        <f t="shared" si="10"/>
        <v>78</v>
      </c>
      <c r="C81" s="79">
        <v>0.32006926400000002</v>
      </c>
      <c r="D81" s="79">
        <f t="shared" si="9"/>
        <v>7.6816623360000005</v>
      </c>
      <c r="E81" s="66">
        <v>51.34</v>
      </c>
      <c r="F81" s="162">
        <f t="shared" si="7"/>
        <v>3.9437654433024005</v>
      </c>
      <c r="G81" s="79"/>
      <c r="H81" s="162"/>
      <c r="I81" s="79"/>
      <c r="J81" s="101">
        <v>0.209070322</v>
      </c>
      <c r="K81" s="79">
        <f t="shared" si="5"/>
        <v>50.176877279999999</v>
      </c>
      <c r="L81" s="66">
        <v>10</v>
      </c>
      <c r="M81" s="66">
        <v>50</v>
      </c>
    </row>
    <row r="82" spans="1:13" x14ac:dyDescent="0.3">
      <c r="A82" s="86">
        <v>44778</v>
      </c>
      <c r="B82" s="106">
        <f>A82-A80+B80</f>
        <v>79</v>
      </c>
      <c r="C82" s="79"/>
      <c r="D82" s="79"/>
      <c r="E82" s="66">
        <v>52.91</v>
      </c>
      <c r="F82" s="162"/>
      <c r="G82" s="79">
        <v>122.65735175976914</v>
      </c>
      <c r="H82" s="162">
        <f t="shared" si="6"/>
        <v>5.8819387201026413E-3</v>
      </c>
      <c r="I82" s="79"/>
      <c r="J82" s="101">
        <v>0.199809287</v>
      </c>
      <c r="K82" s="79">
        <f t="shared" si="5"/>
        <v>47.954228880000002</v>
      </c>
      <c r="L82" s="66">
        <v>10</v>
      </c>
      <c r="M82" s="66">
        <v>50</v>
      </c>
    </row>
    <row r="83" spans="1:13" x14ac:dyDescent="0.3">
      <c r="A83" s="86">
        <v>44779</v>
      </c>
      <c r="B83" s="106">
        <f t="shared" ref="B83:B84" si="11">A83-A81+B81</f>
        <v>80</v>
      </c>
      <c r="C83" s="79"/>
      <c r="D83" s="79"/>
      <c r="E83" s="66">
        <v>52.91</v>
      </c>
      <c r="F83" s="162"/>
      <c r="G83" s="79"/>
      <c r="H83" s="162"/>
      <c r="I83" s="79"/>
      <c r="J83" s="101">
        <v>0</v>
      </c>
      <c r="K83" s="79">
        <f t="shared" si="5"/>
        <v>0</v>
      </c>
      <c r="L83" s="66">
        <v>10</v>
      </c>
      <c r="M83" s="66">
        <v>50</v>
      </c>
    </row>
    <row r="84" spans="1:13" x14ac:dyDescent="0.3">
      <c r="A84" s="86">
        <v>44780</v>
      </c>
      <c r="B84" s="106">
        <f t="shared" si="11"/>
        <v>81</v>
      </c>
      <c r="C84" s="79"/>
      <c r="D84" s="79"/>
      <c r="E84" s="66">
        <v>52.91</v>
      </c>
      <c r="F84" s="162"/>
      <c r="G84" s="79"/>
      <c r="H84" s="162"/>
      <c r="I84" s="79"/>
      <c r="J84" s="101">
        <v>0</v>
      </c>
      <c r="K84" s="79">
        <f t="shared" si="5"/>
        <v>0</v>
      </c>
      <c r="L84" s="66">
        <v>10</v>
      </c>
      <c r="M84" s="66">
        <v>50</v>
      </c>
    </row>
    <row r="85" spans="1:13" x14ac:dyDescent="0.3">
      <c r="A85" s="86">
        <v>44781</v>
      </c>
      <c r="B85" s="106">
        <f>A85-A82+B82</f>
        <v>82</v>
      </c>
      <c r="C85" s="79">
        <v>0.67873636400000004</v>
      </c>
      <c r="D85" s="79">
        <f t="shared" si="9"/>
        <v>16.289672736</v>
      </c>
      <c r="E85" s="66">
        <v>52.91</v>
      </c>
      <c r="F85" s="162">
        <f t="shared" si="7"/>
        <v>8.6188658446176003</v>
      </c>
      <c r="G85" s="79">
        <v>701.38764028455057</v>
      </c>
      <c r="H85" s="162">
        <f t="shared" si="6"/>
        <v>4.1591499045832231E-2</v>
      </c>
      <c r="I85" s="79">
        <f t="shared" si="8"/>
        <v>0.20722662184212071</v>
      </c>
      <c r="J85" s="101">
        <v>0.24707865200000001</v>
      </c>
      <c r="K85" s="79">
        <f t="shared" si="5"/>
        <v>59.298876479999997</v>
      </c>
      <c r="L85" s="66">
        <v>10</v>
      </c>
      <c r="M85" s="66">
        <v>50</v>
      </c>
    </row>
    <row r="86" spans="1:13" x14ac:dyDescent="0.3">
      <c r="A86" s="86">
        <v>44782</v>
      </c>
      <c r="B86" s="106">
        <f>A86-A83+B83</f>
        <v>83</v>
      </c>
      <c r="C86" s="79"/>
      <c r="D86" s="79"/>
      <c r="E86" s="66">
        <v>52.91</v>
      </c>
      <c r="F86" s="162"/>
      <c r="G86" s="79"/>
      <c r="H86" s="162"/>
      <c r="I86" s="79"/>
      <c r="J86" s="101">
        <v>0</v>
      </c>
      <c r="K86" s="79">
        <f t="shared" si="5"/>
        <v>0</v>
      </c>
      <c r="L86" s="66">
        <v>10</v>
      </c>
      <c r="M86" s="66">
        <v>50</v>
      </c>
    </row>
    <row r="87" spans="1:13" x14ac:dyDescent="0.3">
      <c r="A87" s="86">
        <v>44783</v>
      </c>
      <c r="B87" s="106">
        <f>A87-A85+B85</f>
        <v>84</v>
      </c>
      <c r="C87" s="79"/>
      <c r="D87" s="79"/>
      <c r="E87" s="66">
        <v>52.91</v>
      </c>
      <c r="F87" s="162"/>
      <c r="G87" s="79">
        <v>329.66883785093188</v>
      </c>
      <c r="H87" s="162">
        <f t="shared" si="6"/>
        <v>1.5187805276448287E-2</v>
      </c>
      <c r="I87" s="79"/>
      <c r="J87" s="101">
        <v>0.19195785200000001</v>
      </c>
      <c r="K87" s="79">
        <f t="shared" si="5"/>
        <v>46.069884480000006</v>
      </c>
      <c r="L87" s="66">
        <v>10</v>
      </c>
      <c r="M87" s="66">
        <v>50</v>
      </c>
    </row>
    <row r="88" spans="1:13" x14ac:dyDescent="0.3">
      <c r="A88" s="86">
        <v>44784</v>
      </c>
      <c r="B88" s="106">
        <f>A88-A86+B86</f>
        <v>85</v>
      </c>
      <c r="C88" s="79"/>
      <c r="D88" s="79"/>
      <c r="E88" s="66">
        <v>52.91</v>
      </c>
      <c r="F88" s="162"/>
      <c r="G88" s="79"/>
      <c r="H88" s="162"/>
      <c r="I88" s="79"/>
      <c r="J88" s="101">
        <v>0</v>
      </c>
      <c r="K88" s="79">
        <f t="shared" si="5"/>
        <v>0</v>
      </c>
      <c r="L88" s="66">
        <v>10</v>
      </c>
      <c r="M88" s="66">
        <v>50</v>
      </c>
    </row>
    <row r="89" spans="1:13" x14ac:dyDescent="0.3">
      <c r="A89" s="86">
        <v>44785</v>
      </c>
      <c r="B89" s="106">
        <f>A89-A87+B87</f>
        <v>86</v>
      </c>
      <c r="C89" s="79"/>
      <c r="D89" s="79"/>
      <c r="E89" s="66">
        <v>52.91</v>
      </c>
      <c r="F89" s="162"/>
      <c r="G89" s="79">
        <v>207.55228872990273</v>
      </c>
      <c r="H89" s="162">
        <f t="shared" si="6"/>
        <v>1.100857339423404E-2</v>
      </c>
      <c r="I89" s="79"/>
      <c r="J89" s="101">
        <v>0.221</v>
      </c>
      <c r="K89" s="79">
        <f t="shared" si="5"/>
        <v>53.04</v>
      </c>
      <c r="L89" s="66">
        <v>10</v>
      </c>
      <c r="M89" s="66">
        <v>50</v>
      </c>
    </row>
    <row r="90" spans="1:13" x14ac:dyDescent="0.3">
      <c r="A90" s="86">
        <v>44786</v>
      </c>
      <c r="B90" s="106">
        <f t="shared" ref="B90:B91" si="12">A90-A88+B88</f>
        <v>87</v>
      </c>
      <c r="C90" s="79"/>
      <c r="D90" s="79"/>
      <c r="E90" s="66">
        <v>52.91</v>
      </c>
      <c r="F90" s="162"/>
      <c r="G90" s="79"/>
      <c r="H90" s="162"/>
      <c r="I90" s="79"/>
      <c r="J90" s="101">
        <v>0</v>
      </c>
      <c r="K90" s="79">
        <f t="shared" si="5"/>
        <v>0</v>
      </c>
      <c r="L90" s="66">
        <v>10</v>
      </c>
      <c r="M90" s="66">
        <v>50</v>
      </c>
    </row>
    <row r="91" spans="1:13" x14ac:dyDescent="0.3">
      <c r="A91" s="86">
        <v>44787</v>
      </c>
      <c r="B91" s="106">
        <f t="shared" si="12"/>
        <v>88</v>
      </c>
      <c r="C91" s="79"/>
      <c r="D91" s="79"/>
      <c r="E91" s="66">
        <v>52.91</v>
      </c>
      <c r="F91" s="162"/>
      <c r="G91" s="79"/>
      <c r="H91" s="162"/>
      <c r="I91" s="79"/>
      <c r="J91" s="101">
        <v>0</v>
      </c>
      <c r="K91" s="79">
        <f t="shared" si="5"/>
        <v>0</v>
      </c>
      <c r="L91" s="66">
        <v>10</v>
      </c>
      <c r="M91" s="66">
        <v>50</v>
      </c>
    </row>
    <row r="92" spans="1:13" x14ac:dyDescent="0.3">
      <c r="A92" s="86">
        <v>44788</v>
      </c>
      <c r="B92" s="106">
        <f>A92-A89+B89</f>
        <v>89</v>
      </c>
      <c r="C92" s="79">
        <v>0.25920955299999998</v>
      </c>
      <c r="D92" s="79">
        <f t="shared" si="9"/>
        <v>6.2210292719999991</v>
      </c>
      <c r="E92" s="163">
        <v>52.91</v>
      </c>
      <c r="F92" s="162">
        <f t="shared" si="7"/>
        <v>3.291546587815199</v>
      </c>
      <c r="G92" s="79">
        <v>764.45164069045916</v>
      </c>
      <c r="H92" s="162">
        <f t="shared" si="6"/>
        <v>0</v>
      </c>
      <c r="I92" s="79"/>
      <c r="J92" s="101">
        <v>0</v>
      </c>
      <c r="K92" s="79">
        <f t="shared" si="5"/>
        <v>0</v>
      </c>
      <c r="L92" s="66">
        <v>10</v>
      </c>
      <c r="M92" s="66">
        <v>50</v>
      </c>
    </row>
    <row r="93" spans="1:13" x14ac:dyDescent="0.3">
      <c r="A93" s="86">
        <v>44789</v>
      </c>
      <c r="B93" s="106">
        <f t="shared" si="10"/>
        <v>90</v>
      </c>
      <c r="C93" s="79">
        <v>0.17316390700000001</v>
      </c>
      <c r="D93" s="79">
        <f t="shared" si="9"/>
        <v>4.1559337680000006</v>
      </c>
      <c r="E93" s="66">
        <v>52.91</v>
      </c>
      <c r="F93" s="162">
        <f t="shared" si="7"/>
        <v>2.1989045566488001</v>
      </c>
      <c r="G93" s="79"/>
      <c r="H93" s="162">
        <f t="shared" si="6"/>
        <v>0</v>
      </c>
      <c r="I93" s="79"/>
      <c r="J93" s="101">
        <v>0.19809090900000001</v>
      </c>
      <c r="K93" s="79">
        <f t="shared" si="5"/>
        <v>47.541818160000005</v>
      </c>
      <c r="L93" s="66">
        <v>10</v>
      </c>
      <c r="M93" s="66">
        <v>50</v>
      </c>
    </row>
    <row r="94" spans="1:13" x14ac:dyDescent="0.3">
      <c r="A94" s="86">
        <v>44790</v>
      </c>
      <c r="B94" s="106">
        <f>A94-A92+B92</f>
        <v>91</v>
      </c>
      <c r="C94" s="79">
        <v>0.205410915</v>
      </c>
      <c r="D94" s="79">
        <f t="shared" si="9"/>
        <v>4.9298619600000002</v>
      </c>
      <c r="E94" s="66">
        <v>52.91</v>
      </c>
      <c r="F94" s="162">
        <f t="shared" si="7"/>
        <v>2.6083899630359997</v>
      </c>
      <c r="G94" s="79">
        <v>309.14443324718724</v>
      </c>
      <c r="H94" s="162">
        <f t="shared" si="6"/>
        <v>1.4823720070351994E-2</v>
      </c>
      <c r="I94" s="79">
        <f t="shared" si="8"/>
        <v>0.17596055178165965</v>
      </c>
      <c r="J94" s="101">
        <v>0.19979496199999999</v>
      </c>
      <c r="K94" s="79">
        <f t="shared" si="5"/>
        <v>47.95079088</v>
      </c>
      <c r="L94" s="66">
        <v>10</v>
      </c>
      <c r="M94" s="66">
        <v>50</v>
      </c>
    </row>
    <row r="95" spans="1:13" x14ac:dyDescent="0.3">
      <c r="A95" s="86">
        <v>44791</v>
      </c>
      <c r="B95" s="106">
        <f t="shared" ref="B95:B98" si="13">A95-A93+B93</f>
        <v>92</v>
      </c>
      <c r="C95" s="79"/>
      <c r="D95" s="79"/>
      <c r="E95" s="66">
        <v>52.91</v>
      </c>
      <c r="F95" s="162"/>
      <c r="G95" s="79"/>
      <c r="H95" s="162"/>
      <c r="I95" s="79"/>
      <c r="J95" s="101">
        <v>0.198863503</v>
      </c>
      <c r="K95" s="79">
        <f t="shared" si="5"/>
        <v>47.727240719999998</v>
      </c>
      <c r="L95" s="66">
        <v>10</v>
      </c>
      <c r="M95" s="66">
        <v>50</v>
      </c>
    </row>
    <row r="96" spans="1:13" x14ac:dyDescent="0.3">
      <c r="A96" s="86">
        <v>44792</v>
      </c>
      <c r="B96" s="106">
        <f t="shared" si="13"/>
        <v>93</v>
      </c>
      <c r="C96" s="79"/>
      <c r="D96" s="79"/>
      <c r="E96" s="66">
        <v>52.91</v>
      </c>
      <c r="F96" s="162"/>
      <c r="G96" s="79"/>
      <c r="H96" s="162"/>
      <c r="I96" s="79"/>
      <c r="J96" s="101">
        <v>0.195487089</v>
      </c>
      <c r="K96" s="79">
        <f t="shared" si="5"/>
        <v>46.916901359999997</v>
      </c>
      <c r="L96" s="66">
        <v>10</v>
      </c>
      <c r="M96" s="66">
        <v>50</v>
      </c>
    </row>
    <row r="97" spans="1:13" x14ac:dyDescent="0.3">
      <c r="A97" s="86">
        <v>44793</v>
      </c>
      <c r="B97" s="106">
        <f t="shared" si="13"/>
        <v>94</v>
      </c>
      <c r="C97" s="79"/>
      <c r="D97" s="79"/>
      <c r="E97" s="66">
        <v>52.91</v>
      </c>
      <c r="F97" s="162"/>
      <c r="G97" s="79"/>
      <c r="H97" s="162"/>
      <c r="I97" s="79"/>
      <c r="J97" s="101">
        <v>0.203597418</v>
      </c>
      <c r="K97" s="79">
        <f t="shared" si="5"/>
        <v>48.863380320000005</v>
      </c>
      <c r="L97" s="66">
        <v>10</v>
      </c>
      <c r="M97" s="66">
        <v>50</v>
      </c>
    </row>
    <row r="98" spans="1:13" x14ac:dyDescent="0.3">
      <c r="A98" s="86">
        <v>44794</v>
      </c>
      <c r="B98" s="106">
        <f t="shared" si="13"/>
        <v>95</v>
      </c>
      <c r="C98" s="79"/>
      <c r="D98" s="79"/>
      <c r="E98" s="66">
        <v>52.91</v>
      </c>
      <c r="F98" s="162"/>
      <c r="G98" s="79"/>
      <c r="H98" s="162"/>
      <c r="I98" s="79"/>
      <c r="J98" s="101">
        <v>0.20565533999999999</v>
      </c>
      <c r="K98" s="79">
        <f t="shared" si="5"/>
        <v>49.357281599999993</v>
      </c>
      <c r="L98" s="66">
        <v>10</v>
      </c>
      <c r="M98" s="66">
        <v>50</v>
      </c>
    </row>
    <row r="99" spans="1:13" x14ac:dyDescent="0.3">
      <c r="A99" s="86">
        <v>44795</v>
      </c>
      <c r="B99" s="106">
        <f>A99-A94+B94</f>
        <v>96</v>
      </c>
      <c r="C99" s="79"/>
      <c r="D99" s="79"/>
      <c r="E99" s="66">
        <v>52.91</v>
      </c>
      <c r="F99" s="162"/>
      <c r="G99" s="79">
        <v>159.64541541186972</v>
      </c>
      <c r="H99" s="162">
        <f t="shared" si="6"/>
        <v>6.9073519173758055E-3</v>
      </c>
      <c r="I99" s="79"/>
      <c r="J99" s="101">
        <v>0.18027848099999999</v>
      </c>
      <c r="K99" s="79">
        <f t="shared" si="5"/>
        <v>43.266835439999994</v>
      </c>
      <c r="L99" s="66">
        <v>10</v>
      </c>
      <c r="M99" s="66">
        <v>50</v>
      </c>
    </row>
    <row r="100" spans="1:13" x14ac:dyDescent="0.3">
      <c r="A100" s="86">
        <v>44796</v>
      </c>
      <c r="B100" s="106">
        <f t="shared" si="10"/>
        <v>97</v>
      </c>
      <c r="C100" s="79"/>
      <c r="D100" s="79"/>
      <c r="E100" s="66"/>
      <c r="F100" s="162"/>
      <c r="G100" s="79"/>
      <c r="H100" s="162">
        <f t="shared" si="6"/>
        <v>0</v>
      </c>
      <c r="I100" s="79"/>
      <c r="J100" s="101">
        <v>9.5885840999999999E-2</v>
      </c>
      <c r="K100" s="79">
        <f t="shared" si="5"/>
        <v>23.012601839999999</v>
      </c>
      <c r="L100" s="66">
        <v>10</v>
      </c>
      <c r="M100" s="66">
        <v>50</v>
      </c>
    </row>
    <row r="101" spans="1:13" x14ac:dyDescent="0.3">
      <c r="A101" s="86">
        <v>44797</v>
      </c>
      <c r="B101" s="106">
        <f t="shared" si="10"/>
        <v>98</v>
      </c>
      <c r="C101" s="79"/>
      <c r="D101" s="79"/>
      <c r="E101" s="66"/>
      <c r="F101" s="162"/>
      <c r="G101" s="79">
        <v>115.37237411731506</v>
      </c>
      <c r="H101" s="162">
        <f t="shared" si="6"/>
        <v>3.3901835708530104E-3</v>
      </c>
      <c r="I101" s="79"/>
      <c r="J101" s="101">
        <v>0.12243628500000001</v>
      </c>
      <c r="K101" s="79">
        <f t="shared" si="5"/>
        <v>29.384708400000001</v>
      </c>
      <c r="L101" s="66">
        <v>10</v>
      </c>
      <c r="M101" s="66">
        <v>50</v>
      </c>
    </row>
    <row r="102" spans="1:13" x14ac:dyDescent="0.3">
      <c r="A102" s="86">
        <v>44798</v>
      </c>
      <c r="B102" s="106">
        <f t="shared" si="10"/>
        <v>99</v>
      </c>
      <c r="C102" s="79"/>
      <c r="D102" s="79"/>
      <c r="E102" s="66"/>
      <c r="F102" s="162"/>
      <c r="G102" s="79"/>
      <c r="H102" s="162">
        <f t="shared" si="6"/>
        <v>0</v>
      </c>
      <c r="I102" s="79"/>
      <c r="J102" s="101">
        <v>0.134050633</v>
      </c>
      <c r="K102" s="79">
        <f t="shared" si="5"/>
        <v>32.172151919999997</v>
      </c>
      <c r="L102" s="66">
        <v>10</v>
      </c>
      <c r="M102" s="66">
        <v>50</v>
      </c>
    </row>
    <row r="103" spans="1:13" s="155" customFormat="1" x14ac:dyDescent="0.3">
      <c r="A103" s="86">
        <v>44799</v>
      </c>
      <c r="B103" s="106">
        <f t="shared" ref="B103" si="14">A103-A102+B102</f>
        <v>100</v>
      </c>
      <c r="C103" s="101"/>
      <c r="D103" s="101"/>
      <c r="E103" s="164"/>
      <c r="F103" s="165"/>
      <c r="G103" s="101"/>
      <c r="H103" s="165"/>
      <c r="I103" s="101"/>
      <c r="J103" s="101"/>
      <c r="K103" s="101"/>
      <c r="L103" s="164"/>
      <c r="M103" s="164"/>
    </row>
    <row r="104" spans="1:13" x14ac:dyDescent="0.3">
      <c r="A104" s="86">
        <v>44800</v>
      </c>
      <c r="B104" s="106">
        <f t="shared" si="10"/>
        <v>101</v>
      </c>
      <c r="C104" s="79"/>
      <c r="D104" s="79"/>
      <c r="E104" s="66"/>
      <c r="F104" s="162"/>
      <c r="G104" s="66"/>
      <c r="H104" s="162"/>
      <c r="I104" s="79"/>
      <c r="J104" s="101"/>
      <c r="K104" s="79"/>
      <c r="L104" s="66"/>
      <c r="M104" s="66"/>
    </row>
    <row r="105" spans="1:13" x14ac:dyDescent="0.3">
      <c r="A105" s="148">
        <v>44801</v>
      </c>
      <c r="B105" s="149">
        <f t="shared" si="10"/>
        <v>102</v>
      </c>
    </row>
    <row r="106" spans="1:13" x14ac:dyDescent="0.3">
      <c r="A106" s="86">
        <v>44802</v>
      </c>
      <c r="B106" s="149">
        <f t="shared" si="10"/>
        <v>103</v>
      </c>
    </row>
    <row r="107" spans="1:13" x14ac:dyDescent="0.3">
      <c r="A107" s="86">
        <v>44803</v>
      </c>
      <c r="B107" s="149">
        <f t="shared" si="10"/>
        <v>104</v>
      </c>
    </row>
    <row r="108" spans="1:13" x14ac:dyDescent="0.3">
      <c r="A108" s="86">
        <v>44804</v>
      </c>
      <c r="B108" s="149">
        <f t="shared" si="10"/>
        <v>105</v>
      </c>
    </row>
    <row r="109" spans="1:13" x14ac:dyDescent="0.3">
      <c r="A109" s="86">
        <v>44805</v>
      </c>
      <c r="B109" s="149">
        <f t="shared" si="10"/>
        <v>106</v>
      </c>
      <c r="C109" s="118">
        <v>2.1917009799999998</v>
      </c>
    </row>
    <row r="110" spans="1:13" x14ac:dyDescent="0.3">
      <c r="A110" s="86">
        <v>44806</v>
      </c>
      <c r="B110" s="149">
        <f t="shared" si="10"/>
        <v>107</v>
      </c>
    </row>
    <row r="111" spans="1:13" x14ac:dyDescent="0.3">
      <c r="A111" s="86">
        <v>44807</v>
      </c>
      <c r="B111" s="149">
        <f t="shared" si="10"/>
        <v>108</v>
      </c>
    </row>
    <row r="112" spans="1:13" x14ac:dyDescent="0.3">
      <c r="A112" s="86">
        <v>44808</v>
      </c>
      <c r="B112" s="149">
        <f t="shared" si="10"/>
        <v>109</v>
      </c>
      <c r="C112" s="118">
        <v>0.58978616399999995</v>
      </c>
    </row>
    <row r="113" spans="1:2" x14ac:dyDescent="0.3">
      <c r="A113" s="86">
        <v>44809</v>
      </c>
      <c r="B113" s="149">
        <f t="shared" si="10"/>
        <v>110</v>
      </c>
    </row>
    <row r="114" spans="1:2" x14ac:dyDescent="0.3">
      <c r="A114" s="86">
        <v>44810</v>
      </c>
      <c r="B114" s="149">
        <f t="shared" si="10"/>
        <v>111</v>
      </c>
    </row>
    <row r="115" spans="1:2" x14ac:dyDescent="0.3">
      <c r="A115" s="86">
        <v>44811</v>
      </c>
      <c r="B115" s="149">
        <f t="shared" si="10"/>
        <v>112</v>
      </c>
    </row>
    <row r="116" spans="1:2" x14ac:dyDescent="0.3">
      <c r="A116" s="86">
        <v>44812</v>
      </c>
      <c r="B116" s="149">
        <f t="shared" si="10"/>
        <v>113</v>
      </c>
    </row>
    <row r="117" spans="1:2" x14ac:dyDescent="0.3">
      <c r="A117" s="86">
        <v>44813</v>
      </c>
      <c r="B117" s="149">
        <f t="shared" si="10"/>
        <v>114</v>
      </c>
    </row>
    <row r="118" spans="1:2" x14ac:dyDescent="0.3">
      <c r="A118" s="86">
        <v>44814</v>
      </c>
      <c r="B118" s="149">
        <f t="shared" si="10"/>
        <v>115</v>
      </c>
    </row>
    <row r="119" spans="1:2" x14ac:dyDescent="0.3">
      <c r="A119" s="86">
        <v>44815</v>
      </c>
      <c r="B119" s="149">
        <f t="shared" si="10"/>
        <v>116</v>
      </c>
    </row>
    <row r="120" spans="1:2" x14ac:dyDescent="0.3">
      <c r="A120" s="86">
        <v>44816</v>
      </c>
      <c r="B120" s="149">
        <f t="shared" si="10"/>
        <v>117</v>
      </c>
    </row>
    <row r="121" spans="1:2" x14ac:dyDescent="0.3">
      <c r="A121" s="86">
        <v>44817</v>
      </c>
      <c r="B121" s="149">
        <f t="shared" si="10"/>
        <v>118</v>
      </c>
    </row>
    <row r="122" spans="1:2" x14ac:dyDescent="0.3">
      <c r="A122" s="86">
        <v>44818</v>
      </c>
      <c r="B122" s="149">
        <f t="shared" si="10"/>
        <v>119</v>
      </c>
    </row>
    <row r="123" spans="1:2" x14ac:dyDescent="0.3">
      <c r="A123" s="86">
        <v>44819</v>
      </c>
      <c r="B123" s="149">
        <f t="shared" si="10"/>
        <v>120</v>
      </c>
    </row>
    <row r="124" spans="1:2" x14ac:dyDescent="0.3">
      <c r="A124" s="86">
        <v>44820</v>
      </c>
      <c r="B124" s="149">
        <f t="shared" si="10"/>
        <v>121</v>
      </c>
    </row>
    <row r="125" spans="1:2" x14ac:dyDescent="0.3">
      <c r="A125" s="86">
        <v>44821</v>
      </c>
      <c r="B125" s="149">
        <f t="shared" si="10"/>
        <v>122</v>
      </c>
    </row>
    <row r="126" spans="1:2" x14ac:dyDescent="0.3">
      <c r="A126" s="86">
        <v>44822</v>
      </c>
      <c r="B126" s="149">
        <f t="shared" si="10"/>
        <v>123</v>
      </c>
    </row>
    <row r="127" spans="1:2" x14ac:dyDescent="0.3">
      <c r="A127" s="86">
        <v>44823</v>
      </c>
      <c r="B127" s="149">
        <f t="shared" si="10"/>
        <v>124</v>
      </c>
    </row>
    <row r="128" spans="1:2" x14ac:dyDescent="0.3">
      <c r="A128" s="86">
        <v>44824</v>
      </c>
      <c r="B128" s="149">
        <f t="shared" si="10"/>
        <v>125</v>
      </c>
    </row>
    <row r="129" spans="1:2" x14ac:dyDescent="0.3">
      <c r="A129" s="86">
        <v>44825</v>
      </c>
      <c r="B129" s="149">
        <f t="shared" si="10"/>
        <v>126</v>
      </c>
    </row>
    <row r="130" spans="1:2" x14ac:dyDescent="0.3">
      <c r="A130" s="86">
        <v>44826</v>
      </c>
      <c r="B130" s="149">
        <f t="shared" si="10"/>
        <v>127</v>
      </c>
    </row>
    <row r="131" spans="1:2" x14ac:dyDescent="0.3">
      <c r="A131" s="86">
        <v>44827</v>
      </c>
      <c r="B131" s="149">
        <f t="shared" si="10"/>
        <v>128</v>
      </c>
    </row>
    <row r="132" spans="1:2" x14ac:dyDescent="0.3">
      <c r="A132" s="86">
        <v>44828</v>
      </c>
      <c r="B132" s="149">
        <f t="shared" si="10"/>
        <v>129</v>
      </c>
    </row>
    <row r="133" spans="1:2" x14ac:dyDescent="0.3">
      <c r="A133" s="86">
        <v>44829</v>
      </c>
      <c r="B133" s="149">
        <f t="shared" si="10"/>
        <v>130</v>
      </c>
    </row>
    <row r="134" spans="1:2" x14ac:dyDescent="0.3">
      <c r="A134" s="86">
        <v>44830</v>
      </c>
      <c r="B134" s="149">
        <f t="shared" si="10"/>
        <v>131</v>
      </c>
    </row>
    <row r="135" spans="1:2" x14ac:dyDescent="0.3">
      <c r="A135" s="86">
        <v>44831</v>
      </c>
      <c r="B135" s="149">
        <f t="shared" ref="B135:B153" si="15">A135-A134+B134</f>
        <v>132</v>
      </c>
    </row>
    <row r="136" spans="1:2" x14ac:dyDescent="0.3">
      <c r="A136" s="86">
        <v>44832</v>
      </c>
      <c r="B136" s="149">
        <f t="shared" si="15"/>
        <v>133</v>
      </c>
    </row>
    <row r="137" spans="1:2" x14ac:dyDescent="0.3">
      <c r="A137" s="86">
        <v>44833</v>
      </c>
      <c r="B137" s="149">
        <f t="shared" si="15"/>
        <v>134</v>
      </c>
    </row>
    <row r="138" spans="1:2" x14ac:dyDescent="0.3">
      <c r="A138" s="86">
        <v>44834</v>
      </c>
      <c r="B138" s="149">
        <f t="shared" si="15"/>
        <v>135</v>
      </c>
    </row>
    <row r="139" spans="1:2" x14ac:dyDescent="0.3">
      <c r="A139" s="86">
        <v>44835</v>
      </c>
      <c r="B139" s="149">
        <f t="shared" si="15"/>
        <v>136</v>
      </c>
    </row>
    <row r="140" spans="1:2" x14ac:dyDescent="0.3">
      <c r="A140" s="86">
        <v>44836</v>
      </c>
      <c r="B140" s="149">
        <f t="shared" si="15"/>
        <v>137</v>
      </c>
    </row>
    <row r="141" spans="1:2" x14ac:dyDescent="0.3">
      <c r="A141" s="86">
        <v>44837</v>
      </c>
      <c r="B141" s="149">
        <f t="shared" si="15"/>
        <v>138</v>
      </c>
    </row>
    <row r="142" spans="1:2" x14ac:dyDescent="0.3">
      <c r="A142" s="86">
        <v>44838</v>
      </c>
      <c r="B142" s="149">
        <f t="shared" si="15"/>
        <v>139</v>
      </c>
    </row>
    <row r="143" spans="1:2" x14ac:dyDescent="0.3">
      <c r="A143" s="86">
        <v>44839</v>
      </c>
      <c r="B143" s="149">
        <f t="shared" si="15"/>
        <v>140</v>
      </c>
    </row>
    <row r="144" spans="1:2" x14ac:dyDescent="0.3">
      <c r="A144" s="86">
        <v>44840</v>
      </c>
      <c r="B144" s="149">
        <f t="shared" si="15"/>
        <v>141</v>
      </c>
    </row>
    <row r="145" spans="1:2" x14ac:dyDescent="0.3">
      <c r="A145" s="86">
        <v>44841</v>
      </c>
      <c r="B145" s="149">
        <f t="shared" si="15"/>
        <v>142</v>
      </c>
    </row>
    <row r="146" spans="1:2" x14ac:dyDescent="0.3">
      <c r="A146" s="86">
        <v>44842</v>
      </c>
      <c r="B146" s="149">
        <f t="shared" si="15"/>
        <v>143</v>
      </c>
    </row>
    <row r="147" spans="1:2" x14ac:dyDescent="0.3">
      <c r="A147" s="86">
        <v>44843</v>
      </c>
      <c r="B147" s="149">
        <f t="shared" si="15"/>
        <v>144</v>
      </c>
    </row>
    <row r="148" spans="1:2" x14ac:dyDescent="0.3">
      <c r="A148" s="86">
        <v>44844</v>
      </c>
      <c r="B148" s="149">
        <f t="shared" si="15"/>
        <v>145</v>
      </c>
    </row>
    <row r="149" spans="1:2" x14ac:dyDescent="0.3">
      <c r="A149" s="86">
        <v>44845</v>
      </c>
      <c r="B149" s="149">
        <f t="shared" si="15"/>
        <v>146</v>
      </c>
    </row>
    <row r="150" spans="1:2" x14ac:dyDescent="0.3">
      <c r="A150" s="86">
        <v>44846</v>
      </c>
      <c r="B150" s="149">
        <f t="shared" si="15"/>
        <v>147</v>
      </c>
    </row>
    <row r="151" spans="1:2" x14ac:dyDescent="0.3">
      <c r="A151" s="86">
        <v>44847</v>
      </c>
      <c r="B151" s="149">
        <f t="shared" si="15"/>
        <v>148</v>
      </c>
    </row>
    <row r="152" spans="1:2" x14ac:dyDescent="0.3">
      <c r="A152" s="86">
        <v>44848</v>
      </c>
      <c r="B152" s="149">
        <f t="shared" si="15"/>
        <v>149</v>
      </c>
    </row>
    <row r="153" spans="1:2" x14ac:dyDescent="0.3">
      <c r="A153" s="86">
        <v>44849</v>
      </c>
      <c r="B153" s="149">
        <f t="shared" si="15"/>
        <v>150</v>
      </c>
    </row>
    <row r="154" spans="1:2" x14ac:dyDescent="0.3">
      <c r="A154" s="86">
        <v>44850</v>
      </c>
    </row>
    <row r="155" spans="1:2" x14ac:dyDescent="0.3">
      <c r="A155" s="86">
        <v>44851</v>
      </c>
    </row>
    <row r="156" spans="1:2" x14ac:dyDescent="0.3">
      <c r="A156" s="86">
        <v>44852</v>
      </c>
    </row>
    <row r="157" spans="1:2" x14ac:dyDescent="0.3">
      <c r="A157" s="86">
        <v>44853</v>
      </c>
    </row>
    <row r="158" spans="1:2" x14ac:dyDescent="0.3">
      <c r="A158" s="86">
        <v>44854</v>
      </c>
    </row>
    <row r="159" spans="1:2" x14ac:dyDescent="0.3">
      <c r="A159" s="86">
        <v>44855</v>
      </c>
    </row>
    <row r="160" spans="1:2" x14ac:dyDescent="0.3">
      <c r="A160" s="86">
        <v>44856</v>
      </c>
    </row>
    <row r="161" spans="1:13" x14ac:dyDescent="0.3">
      <c r="A161" s="86">
        <v>44857</v>
      </c>
    </row>
    <row r="162" spans="1:13" x14ac:dyDescent="0.3">
      <c r="A162" s="86">
        <v>44858</v>
      </c>
      <c r="C162" s="186">
        <f>AVERAGE(C3:C153)</f>
        <v>0.68371525054430404</v>
      </c>
      <c r="D162" s="186">
        <f>AVERAGE(D3:D153)</f>
        <v>15.850733689920004</v>
      </c>
      <c r="E162" s="186">
        <f>AVERAGE(E3:E153)</f>
        <v>52.53172413793105</v>
      </c>
      <c r="F162" s="186">
        <f t="shared" ref="F162:M162" si="16">AVERAGE(F3:F153)</f>
        <v>8.5757179776158985</v>
      </c>
      <c r="G162" s="186">
        <f t="shared" si="16"/>
        <v>385.69111382942287</v>
      </c>
      <c r="H162" s="186">
        <f t="shared" si="16"/>
        <v>1.702559177524143E-2</v>
      </c>
      <c r="I162" s="186">
        <f t="shared" si="16"/>
        <v>0.58362339567237609</v>
      </c>
      <c r="J162" s="186">
        <f t="shared" si="16"/>
        <v>0.16296924737499993</v>
      </c>
      <c r="K162" s="186">
        <f t="shared" si="16"/>
        <v>40.876323085714297</v>
      </c>
      <c r="L162" s="186">
        <f t="shared" si="16"/>
        <v>9.9137931034482758</v>
      </c>
      <c r="M162" s="186">
        <f t="shared" si="16"/>
        <v>45.948275862068968</v>
      </c>
    </row>
    <row r="163" spans="1:13" x14ac:dyDescent="0.3">
      <c r="A163" s="86">
        <v>44859</v>
      </c>
      <c r="C163" s="118">
        <f>_xlfn.STDEV.S(C3:C153)</f>
        <v>0.36223728268471955</v>
      </c>
      <c r="D163" s="118">
        <f t="shared" ref="D163:M163" si="17">_xlfn.STDEV.S(D3:D153)</f>
        <v>7.8197862068934487</v>
      </c>
      <c r="E163" s="118">
        <f t="shared" si="17"/>
        <v>10.511330565090118</v>
      </c>
      <c r="F163" s="118">
        <f t="shared" si="17"/>
        <v>6.144862323166187</v>
      </c>
      <c r="G163" s="118">
        <f t="shared" si="17"/>
        <v>287.73676532411292</v>
      </c>
      <c r="H163" s="118">
        <f t="shared" si="17"/>
        <v>1.5077089442878893E-2</v>
      </c>
      <c r="I163" s="118">
        <f t="shared" si="17"/>
        <v>0.49205137795350257</v>
      </c>
      <c r="J163" s="118">
        <f t="shared" si="17"/>
        <v>7.5633836842964181E-2</v>
      </c>
      <c r="K163" s="118">
        <f t="shared" si="17"/>
        <v>17.872967638333087</v>
      </c>
      <c r="L163" s="118">
        <f t="shared" si="17"/>
        <v>1.4783167616146731</v>
      </c>
      <c r="M163" s="118">
        <f t="shared" si="17"/>
        <v>12.192063011810941</v>
      </c>
    </row>
    <row r="164" spans="1:13" x14ac:dyDescent="0.3">
      <c r="A164" s="86">
        <v>44860</v>
      </c>
    </row>
    <row r="165" spans="1:13" x14ac:dyDescent="0.3">
      <c r="A165" s="86">
        <v>44861</v>
      </c>
    </row>
    <row r="166" spans="1:13" x14ac:dyDescent="0.3">
      <c r="A166" s="86">
        <v>44862</v>
      </c>
    </row>
    <row r="167" spans="1:13" x14ac:dyDescent="0.3">
      <c r="A167" s="86">
        <v>44863</v>
      </c>
    </row>
    <row r="168" spans="1:13" x14ac:dyDescent="0.3">
      <c r="A168" s="86">
        <v>44864</v>
      </c>
    </row>
    <row r="169" spans="1:13" x14ac:dyDescent="0.3">
      <c r="A169" s="86">
        <v>44865</v>
      </c>
    </row>
    <row r="170" spans="1:13" x14ac:dyDescent="0.3">
      <c r="A170" s="86">
        <v>44866</v>
      </c>
    </row>
    <row r="171" spans="1:13" x14ac:dyDescent="0.3">
      <c r="A171" s="86">
        <v>44867</v>
      </c>
    </row>
    <row r="172" spans="1:13" x14ac:dyDescent="0.3">
      <c r="A172" s="86">
        <v>44868</v>
      </c>
    </row>
    <row r="173" spans="1:13" x14ac:dyDescent="0.3">
      <c r="A173" s="86">
        <v>44869</v>
      </c>
    </row>
    <row r="174" spans="1:13" x14ac:dyDescent="0.3">
      <c r="A174" s="86">
        <v>44870</v>
      </c>
    </row>
    <row r="175" spans="1:13" x14ac:dyDescent="0.3">
      <c r="A175" s="86">
        <v>44871</v>
      </c>
    </row>
    <row r="176" spans="1:13" x14ac:dyDescent="0.3">
      <c r="A176" s="86">
        <v>44872</v>
      </c>
    </row>
    <row r="177" spans="1:1" x14ac:dyDescent="0.3">
      <c r="A177" s="86">
        <v>44873</v>
      </c>
    </row>
    <row r="178" spans="1:1" x14ac:dyDescent="0.3">
      <c r="A178" s="86">
        <v>44874</v>
      </c>
    </row>
    <row r="179" spans="1:1" x14ac:dyDescent="0.3">
      <c r="A179" s="86">
        <v>44875</v>
      </c>
    </row>
    <row r="180" spans="1:1" x14ac:dyDescent="0.3">
      <c r="A180" s="86">
        <v>44876</v>
      </c>
    </row>
    <row r="181" spans="1:1" x14ac:dyDescent="0.3">
      <c r="A181" s="86">
        <v>44877</v>
      </c>
    </row>
    <row r="182" spans="1:1" x14ac:dyDescent="0.3">
      <c r="A182" s="86">
        <v>44878</v>
      </c>
    </row>
    <row r="183" spans="1:1" x14ac:dyDescent="0.3">
      <c r="A183" s="86">
        <v>44879</v>
      </c>
    </row>
    <row r="184" spans="1:1" x14ac:dyDescent="0.3">
      <c r="A184" s="86">
        <v>44880</v>
      </c>
    </row>
    <row r="185" spans="1:1" x14ac:dyDescent="0.3">
      <c r="A185" s="86">
        <v>44881</v>
      </c>
    </row>
    <row r="186" spans="1:1" x14ac:dyDescent="0.3">
      <c r="A186" s="86">
        <v>44882</v>
      </c>
    </row>
    <row r="187" spans="1:1" x14ac:dyDescent="0.3">
      <c r="A187" s="86">
        <v>44883</v>
      </c>
    </row>
    <row r="188" spans="1:1" x14ac:dyDescent="0.3">
      <c r="A188" s="86">
        <v>44884</v>
      </c>
    </row>
    <row r="189" spans="1:1" x14ac:dyDescent="0.3">
      <c r="A189" s="86">
        <v>44885</v>
      </c>
    </row>
    <row r="190" spans="1:1" x14ac:dyDescent="0.3">
      <c r="A190" s="86">
        <v>44886</v>
      </c>
    </row>
    <row r="191" spans="1:1" x14ac:dyDescent="0.3">
      <c r="A191" s="86">
        <v>44887</v>
      </c>
    </row>
    <row r="192" spans="1:1" x14ac:dyDescent="0.3">
      <c r="A192" s="86">
        <v>44888</v>
      </c>
    </row>
    <row r="193" spans="1:1" x14ac:dyDescent="0.3">
      <c r="A193" s="86">
        <v>44889</v>
      </c>
    </row>
    <row r="194" spans="1:1" x14ac:dyDescent="0.3">
      <c r="A194" s="86">
        <v>44890</v>
      </c>
    </row>
    <row r="195" spans="1:1" x14ac:dyDescent="0.3">
      <c r="A195" s="86">
        <v>44891</v>
      </c>
    </row>
    <row r="196" spans="1:1" x14ac:dyDescent="0.3">
      <c r="A196" s="86">
        <v>44892</v>
      </c>
    </row>
    <row r="197" spans="1:1" x14ac:dyDescent="0.3">
      <c r="A197" s="86">
        <v>44893</v>
      </c>
    </row>
    <row r="198" spans="1:1" x14ac:dyDescent="0.3">
      <c r="A198" s="86">
        <v>44894</v>
      </c>
    </row>
    <row r="199" spans="1:1" x14ac:dyDescent="0.3">
      <c r="A199" s="86">
        <v>44895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7CA5-1576-4B5D-AB8E-D931D1CF3889}">
  <dimension ref="A1:FD188"/>
  <sheetViews>
    <sheetView zoomScale="70" zoomScaleNormal="70" workbookViewId="0">
      <pane xSplit="1" ySplit="3" topLeftCell="BI165" activePane="bottomRight" state="frozen"/>
      <selection pane="topRight" activeCell="B1" sqref="B1"/>
      <selection pane="bottomLeft" activeCell="A4" sqref="A4"/>
      <selection pane="bottomRight" activeCell="FH223" sqref="FH223"/>
    </sheetView>
  </sheetViews>
  <sheetFormatPr defaultColWidth="9.109375" defaultRowHeight="15.6" x14ac:dyDescent="0.3"/>
  <cols>
    <col min="1" max="1" width="13.44140625" style="52" bestFit="1" customWidth="1"/>
    <col min="2" max="2" width="13.44140625" style="52" customWidth="1"/>
    <col min="3" max="3" width="9.6640625" style="69" customWidth="1"/>
    <col min="4" max="4" width="9" style="69" customWidth="1"/>
    <col min="5" max="5" width="8.5546875" style="69" customWidth="1"/>
    <col min="6" max="10" width="11.109375" style="69" customWidth="1"/>
    <col min="11" max="11" width="9" style="70" hidden="1" customWidth="1"/>
    <col min="12" max="13" width="6.6640625" style="70" hidden="1" customWidth="1"/>
    <col min="14" max="15" width="8.6640625" style="70" hidden="1" customWidth="1"/>
    <col min="16" max="16" width="8.5546875" style="70" hidden="1" customWidth="1"/>
    <col min="17" max="17" width="9.109375" style="70" hidden="1" customWidth="1"/>
    <col min="18" max="23" width="10.33203125" style="71" hidden="1" customWidth="1"/>
    <col min="24" max="24" width="10.109375" style="79" hidden="1" customWidth="1"/>
    <col min="25" max="25" width="12.88671875" style="119" hidden="1" customWidth="1"/>
    <col min="26" max="26" width="12" style="119" hidden="1" customWidth="1"/>
    <col min="27" max="32" width="11.109375" style="79" hidden="1" customWidth="1"/>
    <col min="33" max="33" width="14.44140625" style="168" hidden="1" customWidth="1"/>
    <col min="34" max="34" width="7.33203125" style="74" hidden="1" customWidth="1"/>
    <col min="35" max="36" width="9.6640625" style="69" hidden="1" customWidth="1"/>
    <col min="37" max="37" width="8.5546875" style="69" hidden="1" customWidth="1"/>
    <col min="38" max="38" width="9.33203125" style="69" hidden="1" customWidth="1"/>
    <col min="39" max="39" width="8.5546875" style="70" hidden="1" customWidth="1"/>
    <col min="40" max="40" width="8.6640625" style="70" hidden="1" customWidth="1"/>
    <col min="41" max="41" width="8.5546875" style="70" hidden="1" customWidth="1"/>
    <col min="42" max="43" width="8.109375" style="70" hidden="1" customWidth="1"/>
    <col min="44" max="48" width="10.33203125" style="71" hidden="1" customWidth="1"/>
    <col min="49" max="49" width="10.109375" style="79" hidden="1" customWidth="1"/>
    <col min="50" max="50" width="12.88671875" style="136" hidden="1" customWidth="1"/>
    <col min="51" max="51" width="12" style="136" hidden="1" customWidth="1"/>
    <col min="52" max="53" width="15.109375" style="136" hidden="1" customWidth="1"/>
    <col min="54" max="57" width="10.109375" style="79" hidden="1" customWidth="1"/>
    <col min="58" max="58" width="13.5546875" style="168" hidden="1" customWidth="1"/>
    <col min="59" max="59" width="7.33203125" style="74" hidden="1" customWidth="1"/>
    <col min="60" max="67" width="9.6640625" style="69" customWidth="1"/>
    <col min="68" max="68" width="8.5546875" style="70" hidden="1" customWidth="1"/>
    <col min="69" max="70" width="6.6640625" style="70" hidden="1" customWidth="1"/>
    <col min="71" max="72" width="7.33203125" style="70" hidden="1" customWidth="1"/>
    <col min="73" max="74" width="8.109375" style="70" hidden="1" customWidth="1"/>
    <col min="75" max="80" width="10.33203125" style="71" hidden="1" customWidth="1"/>
    <col min="81" max="81" width="10.109375" style="79" hidden="1" customWidth="1"/>
    <col min="82" max="82" width="11.5546875" style="79" hidden="1" customWidth="1"/>
    <col min="83" max="83" width="12" style="79" hidden="1" customWidth="1"/>
    <col min="84" max="88" width="10.109375" style="79" hidden="1" customWidth="1"/>
    <col min="89" max="89" width="14.44140625" style="168" hidden="1" customWidth="1"/>
    <col min="90" max="90" width="7.33203125" style="74" hidden="1" customWidth="1"/>
    <col min="91" max="91" width="8.88671875" style="130" hidden="1" customWidth="1"/>
    <col min="92" max="92" width="8.5546875" style="130" hidden="1" customWidth="1"/>
    <col min="93" max="93" width="9.6640625" style="130" hidden="1" customWidth="1"/>
    <col min="94" max="94" width="8.5546875" style="130" hidden="1" customWidth="1"/>
    <col min="95" max="96" width="7.33203125" style="131" hidden="1" customWidth="1"/>
    <col min="97" max="97" width="7.88671875" style="178" hidden="1" customWidth="1"/>
    <col min="98" max="98" width="9.6640625" style="132" hidden="1" customWidth="1"/>
    <col min="99" max="99" width="7.88671875" style="131" hidden="1" customWidth="1"/>
    <col min="100" max="100" width="10.5546875" style="133" hidden="1" customWidth="1"/>
    <col min="101" max="102" width="7.88671875" style="133" hidden="1" customWidth="1"/>
    <col min="103" max="103" width="7.33203125" style="133" hidden="1" customWidth="1"/>
    <col min="104" max="104" width="9" style="133" hidden="1" customWidth="1"/>
    <col min="105" max="106" width="7.33203125" style="80" hidden="1" customWidth="1"/>
    <col min="107" max="107" width="12" style="80" hidden="1" customWidth="1"/>
    <col min="108" max="111" width="7.33203125" style="80" hidden="1" customWidth="1"/>
    <col min="112" max="112" width="12.6640625" style="80" hidden="1" customWidth="1"/>
    <col min="113" max="113" width="13.5546875" style="173" hidden="1" customWidth="1"/>
    <col min="114" max="114" width="7.33203125" style="134" hidden="1" customWidth="1"/>
    <col min="115" max="115" width="8.88671875" style="130" customWidth="1"/>
    <col min="116" max="116" width="8.5546875" style="130" customWidth="1"/>
    <col min="117" max="117" width="9.6640625" style="130" customWidth="1"/>
    <col min="118" max="122" width="8.5546875" style="130" customWidth="1"/>
    <col min="123" max="123" width="7.88671875" style="132" hidden="1" customWidth="1"/>
    <col min="124" max="125" width="7.33203125" style="132" hidden="1" customWidth="1"/>
    <col min="126" max="126" width="7.88671875" style="178" hidden="1" customWidth="1"/>
    <col min="127" max="127" width="9" style="178" hidden="1" customWidth="1"/>
    <col min="128" max="128" width="8.88671875" style="132" hidden="1" customWidth="1"/>
    <col min="129" max="129" width="9" style="132" hidden="1" customWidth="1"/>
    <col min="130" max="130" width="7.88671875" style="175" hidden="1" customWidth="1"/>
    <col min="131" max="131" width="7.33203125" style="175" hidden="1" customWidth="1"/>
    <col min="132" max="132" width="7.88671875" style="181" hidden="1" customWidth="1"/>
    <col min="133" max="133" width="7.5546875" style="181" hidden="1" customWidth="1"/>
    <col min="134" max="134" width="7.5546875" style="175" hidden="1" customWidth="1"/>
    <col min="135" max="135" width="7.88671875" style="181" hidden="1" customWidth="1"/>
    <col min="136" max="136" width="9.33203125" style="80" hidden="1" customWidth="1"/>
    <col min="137" max="137" width="7.33203125" style="80" hidden="1" customWidth="1"/>
    <col min="138" max="138" width="10.33203125" style="118" hidden="1" customWidth="1"/>
    <col min="139" max="139" width="7.33203125" style="80" hidden="1" customWidth="1"/>
    <col min="140" max="140" width="7.33203125" style="118" hidden="1" customWidth="1"/>
    <col min="141" max="141" width="7.33203125" style="80" hidden="1" customWidth="1"/>
    <col min="142" max="142" width="14.33203125" style="173" hidden="1" customWidth="1"/>
    <col min="143" max="143" width="7.33203125" style="134" hidden="1" customWidth="1"/>
    <col min="144" max="147" width="10.6640625" style="118" hidden="1" customWidth="1"/>
    <col min="148" max="148" width="15.33203125" style="118" hidden="1" customWidth="1"/>
    <col min="149" max="149" width="9.109375" style="80" hidden="1" customWidth="1"/>
    <col min="150" max="150" width="12.6640625" style="80" hidden="1" customWidth="1"/>
    <col min="151" max="151" width="9.109375" style="80" hidden="1" customWidth="1"/>
    <col min="152" max="152" width="9.109375" style="118" hidden="1" customWidth="1"/>
    <col min="153" max="153" width="15.33203125" style="80" hidden="1" customWidth="1"/>
    <col min="154" max="157" width="9.109375" style="80" hidden="1" customWidth="1"/>
    <col min="158" max="158" width="14.6640625" style="80" hidden="1" customWidth="1"/>
    <col min="159" max="159" width="18.5546875" style="80" customWidth="1"/>
    <col min="160" max="160" width="19.5546875" style="80" bestFit="1" customWidth="1"/>
    <col min="161" max="16384" width="9.109375" style="80"/>
  </cols>
  <sheetData>
    <row r="1" spans="1:160" s="54" customFormat="1" x14ac:dyDescent="0.3">
      <c r="A1" s="52"/>
      <c r="B1" s="52"/>
      <c r="C1" s="195" t="s">
        <v>0</v>
      </c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6" t="s">
        <v>1</v>
      </c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217"/>
      <c r="BG1" s="218"/>
      <c r="BH1" s="195" t="s">
        <v>2</v>
      </c>
      <c r="BI1" s="195"/>
      <c r="BJ1" s="195"/>
      <c r="BK1" s="195"/>
      <c r="BL1" s="195"/>
      <c r="BM1" s="195"/>
      <c r="BN1" s="195"/>
      <c r="BO1" s="195"/>
      <c r="BP1" s="195"/>
      <c r="BQ1" s="195"/>
      <c r="BR1" s="195"/>
      <c r="BS1" s="195"/>
      <c r="BT1" s="195"/>
      <c r="BU1" s="195"/>
      <c r="BV1" s="195"/>
      <c r="BW1" s="195"/>
      <c r="BX1" s="195"/>
      <c r="BY1" s="195"/>
      <c r="BZ1" s="195"/>
      <c r="CA1" s="195"/>
      <c r="CB1" s="195"/>
      <c r="CC1" s="195"/>
      <c r="CD1" s="195"/>
      <c r="CE1" s="195"/>
      <c r="CF1" s="195"/>
      <c r="CG1" s="195"/>
      <c r="CH1" s="195"/>
      <c r="CI1" s="195"/>
      <c r="CJ1" s="195"/>
      <c r="CK1" s="195"/>
      <c r="CL1" s="195"/>
      <c r="CM1" s="195" t="s">
        <v>53</v>
      </c>
      <c r="CN1" s="195"/>
      <c r="CO1" s="195"/>
      <c r="CP1" s="195"/>
      <c r="CQ1" s="195"/>
      <c r="CR1" s="195"/>
      <c r="CS1" s="195"/>
      <c r="CT1" s="195"/>
      <c r="CU1" s="195"/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5"/>
      <c r="DI1" s="195"/>
      <c r="DJ1" s="195"/>
      <c r="DK1" s="195" t="s">
        <v>54</v>
      </c>
      <c r="DL1" s="195"/>
      <c r="DM1" s="195"/>
      <c r="DN1" s="195"/>
      <c r="DO1" s="195"/>
      <c r="DP1" s="195"/>
      <c r="DQ1" s="195"/>
      <c r="DR1" s="195"/>
      <c r="DS1" s="195"/>
      <c r="DT1" s="195"/>
      <c r="DU1" s="195"/>
      <c r="DV1" s="195"/>
      <c r="DW1" s="195"/>
      <c r="DX1" s="195"/>
      <c r="DY1" s="195"/>
      <c r="DZ1" s="195"/>
      <c r="EA1" s="195"/>
      <c r="EB1" s="195"/>
      <c r="EC1" s="195"/>
      <c r="ED1" s="195"/>
      <c r="EE1" s="195"/>
      <c r="EF1" s="195"/>
      <c r="EG1" s="195"/>
      <c r="EH1" s="195"/>
      <c r="EI1" s="195"/>
      <c r="EJ1" s="195"/>
      <c r="EK1" s="195"/>
      <c r="EL1" s="195"/>
      <c r="EM1" s="195"/>
      <c r="EN1" s="194" t="s">
        <v>61</v>
      </c>
      <c r="EO1" s="194"/>
      <c r="EP1" s="194"/>
      <c r="EQ1" s="194"/>
      <c r="ER1" s="53"/>
      <c r="ES1" s="194" t="s">
        <v>102</v>
      </c>
      <c r="ET1" s="194"/>
      <c r="EU1" s="194"/>
      <c r="EV1" s="194"/>
      <c r="EW1" s="53"/>
      <c r="EX1" s="194" t="s">
        <v>85</v>
      </c>
      <c r="EY1" s="194"/>
      <c r="EZ1" s="194"/>
      <c r="FA1" s="194"/>
      <c r="FB1" s="53"/>
    </row>
    <row r="2" spans="1:160" s="54" customFormat="1" x14ac:dyDescent="0.3">
      <c r="A2" s="52"/>
      <c r="B2" s="52"/>
      <c r="C2" s="198" t="s">
        <v>3</v>
      </c>
      <c r="D2" s="198"/>
      <c r="E2" s="198"/>
      <c r="F2" s="198"/>
      <c r="G2" s="208" t="s">
        <v>104</v>
      </c>
      <c r="H2" s="209"/>
      <c r="I2" s="209"/>
      <c r="J2" s="210"/>
      <c r="K2" s="211" t="s">
        <v>4</v>
      </c>
      <c r="L2" s="212"/>
      <c r="M2" s="212"/>
      <c r="N2" s="212"/>
      <c r="O2" s="212"/>
      <c r="P2" s="212"/>
      <c r="Q2" s="213"/>
      <c r="R2" s="214" t="s">
        <v>5</v>
      </c>
      <c r="S2" s="215"/>
      <c r="T2" s="215"/>
      <c r="U2" s="215"/>
      <c r="V2" s="215"/>
      <c r="W2" s="216"/>
      <c r="X2" s="191" t="s">
        <v>6</v>
      </c>
      <c r="Y2" s="192"/>
      <c r="Z2" s="192"/>
      <c r="AA2" s="192"/>
      <c r="AB2" s="192"/>
      <c r="AC2" s="192"/>
      <c r="AD2" s="192"/>
      <c r="AE2" s="192"/>
      <c r="AF2" s="193"/>
      <c r="AG2" s="166"/>
      <c r="AH2" s="55" t="s">
        <v>7</v>
      </c>
      <c r="AI2" s="208" t="s">
        <v>3</v>
      </c>
      <c r="AJ2" s="209"/>
      <c r="AK2" s="209"/>
      <c r="AL2" s="210"/>
      <c r="AM2" s="211" t="s">
        <v>4</v>
      </c>
      <c r="AN2" s="212"/>
      <c r="AO2" s="212"/>
      <c r="AP2" s="212"/>
      <c r="AQ2" s="213"/>
      <c r="AR2" s="214" t="s">
        <v>5</v>
      </c>
      <c r="AS2" s="215"/>
      <c r="AT2" s="215"/>
      <c r="AU2" s="215"/>
      <c r="AV2" s="216"/>
      <c r="AW2" s="191" t="s">
        <v>6</v>
      </c>
      <c r="AX2" s="192"/>
      <c r="AY2" s="192"/>
      <c r="AZ2" s="192"/>
      <c r="BA2" s="192"/>
      <c r="BB2" s="193"/>
      <c r="BC2" s="56"/>
      <c r="BD2" s="56"/>
      <c r="BE2" s="56"/>
      <c r="BF2" s="170"/>
      <c r="BG2" s="55" t="s">
        <v>7</v>
      </c>
      <c r="BH2" s="202" t="s">
        <v>3</v>
      </c>
      <c r="BI2" s="202"/>
      <c r="BJ2" s="202"/>
      <c r="BK2" s="202"/>
      <c r="BL2" s="208" t="s">
        <v>104</v>
      </c>
      <c r="BM2" s="209"/>
      <c r="BN2" s="209"/>
      <c r="BO2" s="210"/>
      <c r="BP2" s="197" t="s">
        <v>4</v>
      </c>
      <c r="BQ2" s="197"/>
      <c r="BR2" s="197"/>
      <c r="BS2" s="197"/>
      <c r="BT2" s="197"/>
      <c r="BU2" s="197"/>
      <c r="BV2" s="197"/>
      <c r="BW2" s="199" t="s">
        <v>5</v>
      </c>
      <c r="BX2" s="199"/>
      <c r="BY2" s="199"/>
      <c r="BZ2" s="199"/>
      <c r="CA2" s="199"/>
      <c r="CB2" s="199"/>
      <c r="CC2" s="191" t="s">
        <v>6</v>
      </c>
      <c r="CD2" s="192"/>
      <c r="CE2" s="192"/>
      <c r="CF2" s="192"/>
      <c r="CG2" s="192"/>
      <c r="CH2" s="192"/>
      <c r="CI2" s="192"/>
      <c r="CJ2" s="193"/>
      <c r="CK2" s="166"/>
      <c r="CL2" s="55" t="s">
        <v>7</v>
      </c>
      <c r="CM2" s="202" t="s">
        <v>3</v>
      </c>
      <c r="CN2" s="202"/>
      <c r="CO2" s="202"/>
      <c r="CP2" s="202"/>
      <c r="CQ2" s="197" t="s">
        <v>4</v>
      </c>
      <c r="CR2" s="197"/>
      <c r="CS2" s="197"/>
      <c r="CT2" s="197"/>
      <c r="CU2" s="197"/>
      <c r="CV2" s="199" t="s">
        <v>5</v>
      </c>
      <c r="CW2" s="199"/>
      <c r="CX2" s="199"/>
      <c r="CY2" s="199"/>
      <c r="CZ2" s="199"/>
      <c r="DA2" s="191" t="s">
        <v>6</v>
      </c>
      <c r="DB2" s="192"/>
      <c r="DC2" s="192"/>
      <c r="DD2" s="192"/>
      <c r="DE2" s="192"/>
      <c r="DF2" s="192"/>
      <c r="DG2" s="192"/>
      <c r="DH2" s="193"/>
      <c r="DI2" s="166"/>
      <c r="DJ2" s="55" t="s">
        <v>7</v>
      </c>
      <c r="DK2" s="202" t="s">
        <v>3</v>
      </c>
      <c r="DL2" s="202"/>
      <c r="DM2" s="202"/>
      <c r="DN2" s="202"/>
      <c r="DO2" s="208" t="s">
        <v>104</v>
      </c>
      <c r="DP2" s="209"/>
      <c r="DQ2" s="209"/>
      <c r="DR2" s="210"/>
      <c r="DS2" s="197" t="s">
        <v>4</v>
      </c>
      <c r="DT2" s="197"/>
      <c r="DU2" s="197"/>
      <c r="DV2" s="197"/>
      <c r="DW2" s="197"/>
      <c r="DX2" s="197"/>
      <c r="DY2" s="197"/>
      <c r="DZ2" s="199" t="s">
        <v>5</v>
      </c>
      <c r="EA2" s="199"/>
      <c r="EB2" s="199"/>
      <c r="EC2" s="199"/>
      <c r="ED2" s="199"/>
      <c r="EE2" s="199"/>
      <c r="EF2" s="191" t="s">
        <v>6</v>
      </c>
      <c r="EG2" s="192"/>
      <c r="EH2" s="192"/>
      <c r="EI2" s="192"/>
      <c r="EJ2" s="192"/>
      <c r="EK2" s="193"/>
      <c r="EL2" s="166"/>
      <c r="EM2" s="55" t="s">
        <v>7</v>
      </c>
      <c r="EN2" s="194" t="s">
        <v>3</v>
      </c>
      <c r="EO2" s="194"/>
      <c r="EP2" s="194"/>
      <c r="EQ2" s="194"/>
      <c r="ER2" s="53"/>
      <c r="ES2" s="194" t="s">
        <v>3</v>
      </c>
      <c r="ET2" s="194"/>
      <c r="EU2" s="194"/>
      <c r="EV2" s="194"/>
      <c r="EW2" s="53"/>
      <c r="EX2" s="194" t="s">
        <v>3</v>
      </c>
      <c r="EY2" s="194"/>
      <c r="EZ2" s="194"/>
      <c r="FA2" s="194"/>
      <c r="FB2" s="53"/>
    </row>
    <row r="3" spans="1:160" s="54" customFormat="1" x14ac:dyDescent="0.3">
      <c r="A3" s="52"/>
      <c r="B3" s="52"/>
      <c r="C3" s="57" t="s">
        <v>8</v>
      </c>
      <c r="D3" s="57" t="s">
        <v>9</v>
      </c>
      <c r="E3" s="57" t="s">
        <v>10</v>
      </c>
      <c r="F3" s="57" t="s">
        <v>11</v>
      </c>
      <c r="G3" s="57" t="s">
        <v>8</v>
      </c>
      <c r="H3" s="57" t="s">
        <v>9</v>
      </c>
      <c r="I3" s="57" t="s">
        <v>10</v>
      </c>
      <c r="J3" s="57" t="s">
        <v>11</v>
      </c>
      <c r="K3" s="65" t="s">
        <v>12</v>
      </c>
      <c r="L3" s="58" t="s">
        <v>13</v>
      </c>
      <c r="M3" s="58" t="s">
        <v>103</v>
      </c>
      <c r="N3" s="58" t="s">
        <v>14</v>
      </c>
      <c r="O3" s="58" t="s">
        <v>73</v>
      </c>
      <c r="P3" s="65" t="s">
        <v>15</v>
      </c>
      <c r="Q3" s="58" t="s">
        <v>16</v>
      </c>
      <c r="R3" s="59" t="s">
        <v>17</v>
      </c>
      <c r="S3" s="59" t="s">
        <v>74</v>
      </c>
      <c r="T3" s="59" t="s">
        <v>18</v>
      </c>
      <c r="U3" s="59" t="s">
        <v>19</v>
      </c>
      <c r="V3" s="59" t="s">
        <v>20</v>
      </c>
      <c r="W3" s="59" t="s">
        <v>21</v>
      </c>
      <c r="X3" s="60" t="s">
        <v>100</v>
      </c>
      <c r="Y3" s="61" t="s">
        <v>99</v>
      </c>
      <c r="Z3" s="61" t="s">
        <v>96</v>
      </c>
      <c r="AA3" s="53" t="s">
        <v>52</v>
      </c>
      <c r="AB3" s="60" t="s">
        <v>101</v>
      </c>
      <c r="AC3" s="60" t="s">
        <v>92</v>
      </c>
      <c r="AD3" s="60" t="s">
        <v>98</v>
      </c>
      <c r="AE3" s="60" t="s">
        <v>94</v>
      </c>
      <c r="AF3" s="60" t="s">
        <v>95</v>
      </c>
      <c r="AG3" s="167" t="s">
        <v>55</v>
      </c>
      <c r="AH3" s="55"/>
      <c r="AI3" s="62" t="s">
        <v>8</v>
      </c>
      <c r="AJ3" s="62" t="s">
        <v>9</v>
      </c>
      <c r="AK3" s="62" t="s">
        <v>10</v>
      </c>
      <c r="AL3" s="62" t="s">
        <v>11</v>
      </c>
      <c r="AM3" s="58" t="s">
        <v>12</v>
      </c>
      <c r="AN3" s="58" t="s">
        <v>13</v>
      </c>
      <c r="AO3" s="58" t="s">
        <v>14</v>
      </c>
      <c r="AP3" s="58" t="s">
        <v>15</v>
      </c>
      <c r="AQ3" s="58" t="s">
        <v>16</v>
      </c>
      <c r="AR3" s="59" t="s">
        <v>17</v>
      </c>
      <c r="AS3" s="59" t="s">
        <v>18</v>
      </c>
      <c r="AT3" s="59" t="s">
        <v>19</v>
      </c>
      <c r="AU3" s="59" t="s">
        <v>20</v>
      </c>
      <c r="AV3" s="59" t="s">
        <v>21</v>
      </c>
      <c r="AW3" s="60" t="s">
        <v>22</v>
      </c>
      <c r="AX3" s="63" t="s">
        <v>99</v>
      </c>
      <c r="AY3" s="61" t="s">
        <v>96</v>
      </c>
      <c r="AZ3" s="63" t="s">
        <v>45</v>
      </c>
      <c r="BA3" s="63" t="s">
        <v>46</v>
      </c>
      <c r="BB3" s="60" t="s">
        <v>101</v>
      </c>
      <c r="BC3" s="60" t="s">
        <v>92</v>
      </c>
      <c r="BD3" s="60" t="s">
        <v>94</v>
      </c>
      <c r="BE3" s="60" t="s">
        <v>95</v>
      </c>
      <c r="BF3" s="171" t="s">
        <v>55</v>
      </c>
      <c r="BG3" s="55"/>
      <c r="BH3" s="57" t="s">
        <v>8</v>
      </c>
      <c r="BI3" s="57" t="s">
        <v>9</v>
      </c>
      <c r="BJ3" s="57" t="s">
        <v>10</v>
      </c>
      <c r="BK3" s="57" t="s">
        <v>11</v>
      </c>
      <c r="BL3" s="57" t="s">
        <v>8</v>
      </c>
      <c r="BM3" s="57" t="s">
        <v>9</v>
      </c>
      <c r="BN3" s="57" t="s">
        <v>10</v>
      </c>
      <c r="BO3" s="57" t="s">
        <v>11</v>
      </c>
      <c r="BP3" s="58" t="s">
        <v>12</v>
      </c>
      <c r="BQ3" s="58" t="s">
        <v>13</v>
      </c>
      <c r="BR3" s="58" t="s">
        <v>103</v>
      </c>
      <c r="BS3" s="58" t="s">
        <v>14</v>
      </c>
      <c r="BT3" s="58" t="s">
        <v>73</v>
      </c>
      <c r="BU3" s="58" t="s">
        <v>15</v>
      </c>
      <c r="BV3" s="58" t="s">
        <v>16</v>
      </c>
      <c r="BW3" s="59" t="s">
        <v>17</v>
      </c>
      <c r="BX3" s="59" t="s">
        <v>74</v>
      </c>
      <c r="BY3" s="59" t="s">
        <v>18</v>
      </c>
      <c r="BZ3" s="59" t="s">
        <v>19</v>
      </c>
      <c r="CA3" s="59" t="s">
        <v>20</v>
      </c>
      <c r="CB3" s="59" t="s">
        <v>21</v>
      </c>
      <c r="CC3" s="60" t="s">
        <v>100</v>
      </c>
      <c r="CD3" s="60" t="s">
        <v>99</v>
      </c>
      <c r="CE3" s="61" t="s">
        <v>96</v>
      </c>
      <c r="CF3" s="60" t="s">
        <v>52</v>
      </c>
      <c r="CG3" s="60" t="s">
        <v>101</v>
      </c>
      <c r="CH3" s="60" t="s">
        <v>93</v>
      </c>
      <c r="CI3" s="60" t="s">
        <v>94</v>
      </c>
      <c r="CJ3" s="60" t="s">
        <v>95</v>
      </c>
      <c r="CK3" s="167" t="s">
        <v>55</v>
      </c>
      <c r="CL3" s="55"/>
      <c r="CM3" s="62" t="s">
        <v>8</v>
      </c>
      <c r="CN3" s="62" t="s">
        <v>9</v>
      </c>
      <c r="CO3" s="62" t="s">
        <v>10</v>
      </c>
      <c r="CP3" s="64" t="s">
        <v>11</v>
      </c>
      <c r="CQ3" s="58" t="s">
        <v>12</v>
      </c>
      <c r="CR3" s="58" t="s">
        <v>13</v>
      </c>
      <c r="CS3" s="176" t="s">
        <v>14</v>
      </c>
      <c r="CT3" s="65" t="s">
        <v>15</v>
      </c>
      <c r="CU3" s="58" t="s">
        <v>16</v>
      </c>
      <c r="CV3" s="59" t="s">
        <v>17</v>
      </c>
      <c r="CW3" s="59" t="s">
        <v>18</v>
      </c>
      <c r="CX3" s="59" t="s">
        <v>19</v>
      </c>
      <c r="CY3" s="59" t="s">
        <v>20</v>
      </c>
      <c r="CZ3" s="59" t="s">
        <v>21</v>
      </c>
      <c r="DA3" s="60" t="s">
        <v>22</v>
      </c>
      <c r="DB3" s="60" t="s">
        <v>23</v>
      </c>
      <c r="DC3" s="61" t="s">
        <v>96</v>
      </c>
      <c r="DD3" s="60" t="s">
        <v>52</v>
      </c>
      <c r="DE3" s="60" t="s">
        <v>10</v>
      </c>
      <c r="DF3" s="60" t="s">
        <v>92</v>
      </c>
      <c r="DG3" s="60" t="s">
        <v>94</v>
      </c>
      <c r="DH3" s="60" t="s">
        <v>95</v>
      </c>
      <c r="DI3" s="167" t="s">
        <v>55</v>
      </c>
      <c r="DJ3" s="67"/>
      <c r="DK3" s="57" t="s">
        <v>8</v>
      </c>
      <c r="DL3" s="57" t="s">
        <v>9</v>
      </c>
      <c r="DM3" s="57" t="s">
        <v>10</v>
      </c>
      <c r="DN3" s="57" t="s">
        <v>11</v>
      </c>
      <c r="DO3" s="57" t="s">
        <v>8</v>
      </c>
      <c r="DP3" s="57" t="s">
        <v>9</v>
      </c>
      <c r="DQ3" s="57" t="s">
        <v>10</v>
      </c>
      <c r="DR3" s="57" t="s">
        <v>11</v>
      </c>
      <c r="DS3" s="65" t="s">
        <v>12</v>
      </c>
      <c r="DT3" s="65" t="s">
        <v>13</v>
      </c>
      <c r="DU3" s="65" t="s">
        <v>103</v>
      </c>
      <c r="DV3" s="176" t="s">
        <v>14</v>
      </c>
      <c r="DW3" s="176" t="s">
        <v>73</v>
      </c>
      <c r="DX3" s="65" t="s">
        <v>15</v>
      </c>
      <c r="DY3" s="65" t="s">
        <v>16</v>
      </c>
      <c r="DZ3" s="174" t="s">
        <v>17</v>
      </c>
      <c r="EA3" s="174" t="s">
        <v>74</v>
      </c>
      <c r="EB3" s="179" t="s">
        <v>18</v>
      </c>
      <c r="EC3" s="179" t="s">
        <v>19</v>
      </c>
      <c r="ED3" s="174" t="s">
        <v>20</v>
      </c>
      <c r="EE3" s="179" t="s">
        <v>21</v>
      </c>
      <c r="EF3" s="60" t="s">
        <v>22</v>
      </c>
      <c r="EG3" s="60" t="s">
        <v>23</v>
      </c>
      <c r="EH3" s="53" t="s">
        <v>52</v>
      </c>
      <c r="EI3" s="60" t="s">
        <v>10</v>
      </c>
      <c r="EJ3" s="53" t="s">
        <v>97</v>
      </c>
      <c r="EK3" s="60" t="s">
        <v>15</v>
      </c>
      <c r="EL3" s="167" t="s">
        <v>55</v>
      </c>
      <c r="EM3" s="67"/>
      <c r="EN3" s="68" t="s">
        <v>8</v>
      </c>
      <c r="EO3" s="68" t="s">
        <v>9</v>
      </c>
      <c r="EP3" s="68" t="s">
        <v>10</v>
      </c>
      <c r="EQ3" s="68" t="s">
        <v>11</v>
      </c>
      <c r="ER3" s="53" t="s">
        <v>46</v>
      </c>
      <c r="ES3" s="68" t="s">
        <v>8</v>
      </c>
      <c r="ET3" s="68" t="s">
        <v>9</v>
      </c>
      <c r="EU3" s="68" t="s">
        <v>10</v>
      </c>
      <c r="EV3" s="68" t="s">
        <v>11</v>
      </c>
      <c r="EW3" s="53" t="s">
        <v>46</v>
      </c>
      <c r="EX3" s="68" t="s">
        <v>8</v>
      </c>
      <c r="EY3" s="68" t="s">
        <v>9</v>
      </c>
      <c r="EZ3" s="68" t="s">
        <v>10</v>
      </c>
      <c r="FA3" s="68" t="s">
        <v>11</v>
      </c>
      <c r="FB3" s="53" t="s">
        <v>46</v>
      </c>
      <c r="FC3" s="54" t="s">
        <v>105</v>
      </c>
      <c r="FD3" s="54" t="s">
        <v>106</v>
      </c>
    </row>
    <row r="4" spans="1:160" s="54" customFormat="1" x14ac:dyDescent="0.3">
      <c r="A4" s="52"/>
      <c r="B4" s="52"/>
      <c r="C4" s="57" t="s">
        <v>24</v>
      </c>
      <c r="D4" s="57" t="s">
        <v>24</v>
      </c>
      <c r="E4" s="57" t="s">
        <v>24</v>
      </c>
      <c r="F4" s="57" t="s">
        <v>24</v>
      </c>
      <c r="G4" s="57"/>
      <c r="H4" s="57"/>
      <c r="I4" s="57"/>
      <c r="J4" s="57"/>
      <c r="K4" s="65" t="s">
        <v>24</v>
      </c>
      <c r="L4" s="58" t="s">
        <v>24</v>
      </c>
      <c r="M4" s="58"/>
      <c r="N4" s="58" t="s">
        <v>24</v>
      </c>
      <c r="O4" s="58"/>
      <c r="P4" s="65" t="s">
        <v>24</v>
      </c>
      <c r="Q4" s="58" t="s">
        <v>24</v>
      </c>
      <c r="R4" s="59" t="s">
        <v>24</v>
      </c>
      <c r="S4" s="59" t="s">
        <v>24</v>
      </c>
      <c r="T4" s="59" t="s">
        <v>24</v>
      </c>
      <c r="U4" s="59" t="s">
        <v>24</v>
      </c>
      <c r="V4" s="59" t="s">
        <v>24</v>
      </c>
      <c r="W4" s="59" t="s">
        <v>24</v>
      </c>
      <c r="X4" s="60" t="s">
        <v>24</v>
      </c>
      <c r="Y4" s="61" t="s">
        <v>24</v>
      </c>
      <c r="Z4" s="61"/>
      <c r="AA4" s="53"/>
      <c r="AB4" s="60" t="s">
        <v>24</v>
      </c>
      <c r="AC4" s="60"/>
      <c r="AD4" s="60"/>
      <c r="AE4" s="60"/>
      <c r="AF4" s="60"/>
      <c r="AG4" s="167" t="s">
        <v>56</v>
      </c>
      <c r="AH4" s="55"/>
      <c r="AI4" s="62" t="s">
        <v>24</v>
      </c>
      <c r="AJ4" s="62" t="s">
        <v>24</v>
      </c>
      <c r="AK4" s="62" t="s">
        <v>24</v>
      </c>
      <c r="AL4" s="62" t="s">
        <v>24</v>
      </c>
      <c r="AM4" s="58" t="s">
        <v>24</v>
      </c>
      <c r="AN4" s="58" t="s">
        <v>24</v>
      </c>
      <c r="AO4" s="58" t="s">
        <v>24</v>
      </c>
      <c r="AP4" s="58" t="s">
        <v>24</v>
      </c>
      <c r="AQ4" s="58" t="s">
        <v>24</v>
      </c>
      <c r="AR4" s="59" t="s">
        <v>24</v>
      </c>
      <c r="AS4" s="59" t="s">
        <v>24</v>
      </c>
      <c r="AT4" s="59" t="s">
        <v>24</v>
      </c>
      <c r="AU4" s="59" t="s">
        <v>24</v>
      </c>
      <c r="AV4" s="59" t="s">
        <v>24</v>
      </c>
      <c r="AW4" s="60" t="s">
        <v>24</v>
      </c>
      <c r="AX4" s="63" t="s">
        <v>24</v>
      </c>
      <c r="AY4" s="63"/>
      <c r="AZ4" s="63" t="s">
        <v>24</v>
      </c>
      <c r="BA4" s="63"/>
      <c r="BB4" s="60" t="s">
        <v>24</v>
      </c>
      <c r="BC4" s="60"/>
      <c r="BD4" s="60"/>
      <c r="BE4" s="60"/>
      <c r="BF4" s="171" t="s">
        <v>56</v>
      </c>
      <c r="BG4" s="55"/>
      <c r="BH4" s="57" t="s">
        <v>24</v>
      </c>
      <c r="BI4" s="57" t="s">
        <v>24</v>
      </c>
      <c r="BJ4" s="57" t="s">
        <v>24</v>
      </c>
      <c r="BK4" s="57" t="s">
        <v>24</v>
      </c>
      <c r="BL4" s="57"/>
      <c r="BM4" s="57"/>
      <c r="BN4" s="57"/>
      <c r="BO4" s="57"/>
      <c r="BP4" s="58" t="s">
        <v>24</v>
      </c>
      <c r="BQ4" s="58" t="s">
        <v>24</v>
      </c>
      <c r="BR4" s="58"/>
      <c r="BS4" s="58" t="s">
        <v>24</v>
      </c>
      <c r="BT4" s="58" t="s">
        <v>24</v>
      </c>
      <c r="BU4" s="58" t="s">
        <v>24</v>
      </c>
      <c r="BV4" s="58" t="s">
        <v>24</v>
      </c>
      <c r="BW4" s="59" t="s">
        <v>24</v>
      </c>
      <c r="BX4" s="59" t="s">
        <v>24</v>
      </c>
      <c r="BY4" s="59" t="s">
        <v>24</v>
      </c>
      <c r="BZ4" s="59" t="s">
        <v>24</v>
      </c>
      <c r="CA4" s="59" t="s">
        <v>24</v>
      </c>
      <c r="CB4" s="59" t="s">
        <v>24</v>
      </c>
      <c r="CC4" s="60" t="s">
        <v>24</v>
      </c>
      <c r="CD4" s="60" t="s">
        <v>24</v>
      </c>
      <c r="CE4" s="60"/>
      <c r="CF4" s="60"/>
      <c r="CG4" s="60" t="s">
        <v>24</v>
      </c>
      <c r="CH4" s="60"/>
      <c r="CI4" s="60"/>
      <c r="CJ4" s="60"/>
      <c r="CK4" s="167" t="s">
        <v>56</v>
      </c>
      <c r="CL4" s="55"/>
      <c r="CM4" s="62" t="s">
        <v>24</v>
      </c>
      <c r="CN4" s="62" t="s">
        <v>24</v>
      </c>
      <c r="CO4" s="62" t="s">
        <v>24</v>
      </c>
      <c r="CP4" s="64" t="s">
        <v>24</v>
      </c>
      <c r="CQ4" s="58" t="s">
        <v>24</v>
      </c>
      <c r="CR4" s="58" t="s">
        <v>24</v>
      </c>
      <c r="CS4" s="176" t="s">
        <v>24</v>
      </c>
      <c r="CT4" s="65" t="s">
        <v>24</v>
      </c>
      <c r="CU4" s="58" t="s">
        <v>24</v>
      </c>
      <c r="CV4" s="59" t="s">
        <v>24</v>
      </c>
      <c r="CW4" s="59" t="s">
        <v>24</v>
      </c>
      <c r="CX4" s="59" t="s">
        <v>24</v>
      </c>
      <c r="CY4" s="59" t="s">
        <v>24</v>
      </c>
      <c r="CZ4" s="59" t="s">
        <v>24</v>
      </c>
      <c r="DA4" s="60" t="s">
        <v>24</v>
      </c>
      <c r="DB4" s="60" t="s">
        <v>24</v>
      </c>
      <c r="DC4" s="60"/>
      <c r="DD4" s="60"/>
      <c r="DE4" s="60" t="s">
        <v>24</v>
      </c>
      <c r="DF4" s="60"/>
      <c r="DG4" s="60"/>
      <c r="DH4" s="60"/>
      <c r="DI4" s="167" t="s">
        <v>56</v>
      </c>
      <c r="DJ4" s="67"/>
      <c r="DK4" s="57" t="s">
        <v>24</v>
      </c>
      <c r="DL4" s="57" t="s">
        <v>24</v>
      </c>
      <c r="DM4" s="57" t="s">
        <v>24</v>
      </c>
      <c r="DN4" s="57" t="s">
        <v>24</v>
      </c>
      <c r="DO4" s="57"/>
      <c r="DP4" s="57"/>
      <c r="DQ4" s="57"/>
      <c r="DR4" s="57"/>
      <c r="DS4" s="65" t="s">
        <v>24</v>
      </c>
      <c r="DT4" s="65" t="s">
        <v>24</v>
      </c>
      <c r="DU4" s="65"/>
      <c r="DV4" s="176" t="s">
        <v>24</v>
      </c>
      <c r="DW4" s="176" t="s">
        <v>24</v>
      </c>
      <c r="DX4" s="65" t="s">
        <v>24</v>
      </c>
      <c r="DY4" s="65" t="s">
        <v>24</v>
      </c>
      <c r="DZ4" s="174" t="s">
        <v>24</v>
      </c>
      <c r="EA4" s="174" t="s">
        <v>24</v>
      </c>
      <c r="EB4" s="179" t="s">
        <v>24</v>
      </c>
      <c r="EC4" s="179" t="s">
        <v>24</v>
      </c>
      <c r="ED4" s="174" t="s">
        <v>24</v>
      </c>
      <c r="EE4" s="179" t="s">
        <v>24</v>
      </c>
      <c r="EF4" s="60" t="s">
        <v>24</v>
      </c>
      <c r="EG4" s="60" t="s">
        <v>24</v>
      </c>
      <c r="EH4" s="53"/>
      <c r="EI4" s="60" t="s">
        <v>24</v>
      </c>
      <c r="EJ4" s="53"/>
      <c r="EK4" s="60"/>
      <c r="EL4" s="167" t="s">
        <v>56</v>
      </c>
      <c r="EM4" s="67"/>
      <c r="EN4" s="68" t="s">
        <v>25</v>
      </c>
      <c r="EO4" s="68" t="s">
        <v>25</v>
      </c>
      <c r="EP4" s="68" t="s">
        <v>25</v>
      </c>
      <c r="EQ4" s="68" t="s">
        <v>25</v>
      </c>
      <c r="ER4" s="53"/>
      <c r="ES4" s="68" t="s">
        <v>25</v>
      </c>
      <c r="ET4" s="68" t="s">
        <v>25</v>
      </c>
      <c r="EU4" s="68" t="s">
        <v>25</v>
      </c>
      <c r="EV4" s="68" t="s">
        <v>25</v>
      </c>
      <c r="EW4" s="53"/>
      <c r="EX4" s="68" t="s">
        <v>25</v>
      </c>
      <c r="EY4" s="68" t="s">
        <v>25</v>
      </c>
      <c r="EZ4" s="68" t="s">
        <v>25</v>
      </c>
      <c r="FA4" s="68" t="s">
        <v>25</v>
      </c>
      <c r="FB4" s="53"/>
    </row>
    <row r="5" spans="1:160" hidden="1" x14ac:dyDescent="0.3">
      <c r="A5" s="52">
        <v>44368</v>
      </c>
      <c r="C5" s="69">
        <v>108.69999999999999</v>
      </c>
      <c r="D5" s="69">
        <v>49.18</v>
      </c>
      <c r="E5" s="69">
        <v>39.769999999999996</v>
      </c>
      <c r="F5" s="69">
        <v>59.48</v>
      </c>
      <c r="K5" s="70">
        <v>54.080999999999996</v>
      </c>
      <c r="L5" s="70">
        <v>0</v>
      </c>
      <c r="N5" s="70">
        <v>0</v>
      </c>
      <c r="P5" s="70">
        <v>0</v>
      </c>
      <c r="Q5" s="70">
        <v>8.0500000000000007</v>
      </c>
      <c r="X5" s="72">
        <v>42.8</v>
      </c>
      <c r="Y5" s="73"/>
      <c r="Z5" s="73"/>
      <c r="AA5" s="72"/>
      <c r="AB5" s="72"/>
      <c r="AC5" s="72"/>
      <c r="AD5" s="72"/>
      <c r="AE5" s="72"/>
      <c r="AF5" s="72"/>
      <c r="AW5" s="60"/>
      <c r="AX5" s="75"/>
      <c r="AY5" s="75"/>
      <c r="AZ5" s="75"/>
      <c r="BA5" s="75"/>
      <c r="BB5" s="72"/>
      <c r="BC5" s="72"/>
      <c r="BD5" s="72"/>
      <c r="BE5" s="72"/>
      <c r="CC5" s="72"/>
      <c r="CD5" s="72"/>
      <c r="CE5" s="72"/>
      <c r="CF5" s="72"/>
      <c r="CG5" s="72"/>
      <c r="CH5" s="72"/>
      <c r="CI5" s="72"/>
      <c r="CJ5" s="72"/>
      <c r="CM5" s="69"/>
      <c r="CN5" s="69"/>
      <c r="CO5" s="69"/>
      <c r="CP5" s="69"/>
      <c r="CQ5" s="76"/>
      <c r="CR5" s="76"/>
      <c r="CS5" s="177"/>
      <c r="CT5" s="70"/>
      <c r="CU5" s="76"/>
      <c r="CV5" s="77"/>
      <c r="CW5" s="77"/>
      <c r="CX5" s="77"/>
      <c r="CY5" s="77"/>
      <c r="CZ5" s="77"/>
      <c r="DA5" s="66"/>
      <c r="DB5" s="66"/>
      <c r="DC5" s="66"/>
      <c r="DD5" s="66"/>
      <c r="DE5" s="66"/>
      <c r="DF5" s="66"/>
      <c r="DG5" s="66"/>
      <c r="DH5" s="66"/>
      <c r="DI5" s="168"/>
      <c r="DJ5" s="67"/>
      <c r="DK5" s="69"/>
      <c r="DL5" s="69"/>
      <c r="DM5" s="69"/>
      <c r="DN5" s="69"/>
      <c r="DO5" s="69"/>
      <c r="DP5" s="69"/>
      <c r="DQ5" s="69"/>
      <c r="DR5" s="69"/>
      <c r="DS5" s="70"/>
      <c r="DT5" s="70"/>
      <c r="DU5" s="70"/>
      <c r="DV5" s="177"/>
      <c r="DW5" s="177"/>
      <c r="DX5" s="70"/>
      <c r="DY5" s="70"/>
      <c r="DZ5" s="71"/>
      <c r="EA5" s="71"/>
      <c r="EB5" s="180"/>
      <c r="EC5" s="180"/>
      <c r="ED5" s="71"/>
      <c r="EE5" s="180"/>
      <c r="EF5" s="66"/>
      <c r="EG5" s="66"/>
      <c r="EH5" s="79"/>
      <c r="EI5" s="66"/>
      <c r="EJ5" s="79"/>
      <c r="EK5" s="66"/>
      <c r="EL5" s="168"/>
      <c r="EM5" s="67"/>
      <c r="EN5" s="78"/>
      <c r="EO5" s="78"/>
      <c r="EP5" s="78"/>
      <c r="EQ5" s="78"/>
      <c r="ER5" s="79"/>
      <c r="ES5" s="66"/>
      <c r="ET5" s="66"/>
      <c r="EU5" s="66"/>
      <c r="EV5" s="79"/>
      <c r="EW5" s="66"/>
      <c r="EX5" s="66"/>
      <c r="EY5" s="66"/>
      <c r="EZ5" s="66"/>
      <c r="FA5" s="66"/>
      <c r="FB5" s="66"/>
    </row>
    <row r="6" spans="1:160" hidden="1" x14ac:dyDescent="0.3">
      <c r="A6" s="52">
        <v>44377</v>
      </c>
      <c r="C6" s="69">
        <v>212.5</v>
      </c>
      <c r="D6" s="69">
        <v>40.25</v>
      </c>
      <c r="E6" s="69">
        <v>14.755000000000001</v>
      </c>
      <c r="F6" s="69">
        <f>C6-D6</f>
        <v>172.25</v>
      </c>
      <c r="X6" s="72"/>
      <c r="Y6" s="73"/>
      <c r="Z6" s="73"/>
      <c r="AA6" s="72"/>
      <c r="AB6" s="72"/>
      <c r="AC6" s="72"/>
      <c r="AD6" s="72"/>
      <c r="AE6" s="72"/>
      <c r="AF6" s="72"/>
      <c r="AW6" s="72"/>
      <c r="AX6" s="75"/>
      <c r="AY6" s="75"/>
      <c r="AZ6" s="75"/>
      <c r="BA6" s="75"/>
      <c r="BB6" s="72"/>
      <c r="BC6" s="72"/>
      <c r="BD6" s="72"/>
      <c r="BE6" s="72"/>
      <c r="CC6" s="72"/>
      <c r="CD6" s="72"/>
      <c r="CE6" s="72"/>
      <c r="CF6" s="72"/>
      <c r="CG6" s="72"/>
      <c r="CH6" s="72"/>
      <c r="CI6" s="72"/>
      <c r="CJ6" s="72"/>
      <c r="CM6" s="69"/>
      <c r="CN6" s="69"/>
      <c r="CO6" s="69"/>
      <c r="CP6" s="69"/>
      <c r="CQ6" s="76"/>
      <c r="CR6" s="76"/>
      <c r="CS6" s="177"/>
      <c r="CT6" s="70"/>
      <c r="CU6" s="76"/>
      <c r="CV6" s="77"/>
      <c r="CW6" s="77"/>
      <c r="CX6" s="77"/>
      <c r="CY6" s="77"/>
      <c r="CZ6" s="77"/>
      <c r="DA6" s="66"/>
      <c r="DB6" s="66"/>
      <c r="DC6" s="66"/>
      <c r="DD6" s="66"/>
      <c r="DE6" s="66"/>
      <c r="DF6" s="66"/>
      <c r="DG6" s="66"/>
      <c r="DH6" s="66"/>
      <c r="DI6" s="168"/>
      <c r="DJ6" s="67"/>
      <c r="DK6" s="69"/>
      <c r="DL6" s="69"/>
      <c r="DM6" s="69"/>
      <c r="DN6" s="69"/>
      <c r="DO6" s="69"/>
      <c r="DP6" s="69"/>
      <c r="DQ6" s="69"/>
      <c r="DR6" s="69"/>
      <c r="DS6" s="70"/>
      <c r="DT6" s="70"/>
      <c r="DU6" s="70"/>
      <c r="DV6" s="177"/>
      <c r="DW6" s="177"/>
      <c r="DX6" s="70"/>
      <c r="DY6" s="70"/>
      <c r="DZ6" s="71"/>
      <c r="EA6" s="71"/>
      <c r="EB6" s="180"/>
      <c r="EC6" s="180"/>
      <c r="ED6" s="71"/>
      <c r="EE6" s="180"/>
      <c r="EF6" s="66"/>
      <c r="EG6" s="66"/>
      <c r="EH6" s="79"/>
      <c r="EI6" s="66"/>
      <c r="EJ6" s="79"/>
      <c r="EK6" s="66"/>
      <c r="EL6" s="168"/>
      <c r="EM6" s="67"/>
      <c r="EN6" s="78"/>
      <c r="EO6" s="78"/>
      <c r="EP6" s="78"/>
      <c r="EQ6" s="78"/>
      <c r="ER6" s="79"/>
      <c r="ES6" s="66"/>
      <c r="ET6" s="66"/>
      <c r="EU6" s="66"/>
      <c r="EV6" s="79"/>
      <c r="EW6" s="66"/>
      <c r="EX6" s="66"/>
      <c r="EY6" s="66"/>
      <c r="EZ6" s="66"/>
      <c r="FA6" s="66"/>
      <c r="FB6" s="66"/>
    </row>
    <row r="7" spans="1:160" hidden="1" x14ac:dyDescent="0.3">
      <c r="A7" s="52">
        <v>44383</v>
      </c>
      <c r="X7" s="72"/>
      <c r="Y7" s="73"/>
      <c r="Z7" s="73"/>
      <c r="AA7" s="72"/>
      <c r="AB7" s="72"/>
      <c r="AC7" s="72"/>
      <c r="AD7" s="72"/>
      <c r="AE7" s="72"/>
      <c r="AF7" s="72"/>
      <c r="AW7" s="72"/>
      <c r="AX7" s="75"/>
      <c r="AY7" s="75"/>
      <c r="AZ7" s="75"/>
      <c r="BA7" s="75"/>
      <c r="BB7" s="72"/>
      <c r="BC7" s="72"/>
      <c r="BD7" s="72"/>
      <c r="BE7" s="72"/>
      <c r="BH7" s="69">
        <v>321.64999999999998</v>
      </c>
      <c r="BI7" s="69">
        <v>232.25</v>
      </c>
      <c r="BJ7" s="69">
        <v>89.55</v>
      </c>
      <c r="BK7" s="69">
        <f>BH7-BI7</f>
        <v>89.399999999999977</v>
      </c>
      <c r="CC7" s="72"/>
      <c r="CD7" s="72"/>
      <c r="CE7" s="72"/>
      <c r="CF7" s="72"/>
      <c r="CG7" s="72"/>
      <c r="CH7" s="72"/>
      <c r="CI7" s="72"/>
      <c r="CJ7" s="72"/>
      <c r="CM7" s="69"/>
      <c r="CN7" s="69"/>
      <c r="CO7" s="69"/>
      <c r="CP7" s="69"/>
      <c r="CQ7" s="76"/>
      <c r="CR7" s="76"/>
      <c r="CS7" s="177"/>
      <c r="CT7" s="70"/>
      <c r="CU7" s="76"/>
      <c r="CV7" s="77"/>
      <c r="CW7" s="77"/>
      <c r="CX7" s="77"/>
      <c r="CY7" s="77"/>
      <c r="CZ7" s="77"/>
      <c r="DA7" s="66"/>
      <c r="DB7" s="66"/>
      <c r="DC7" s="66"/>
      <c r="DD7" s="66"/>
      <c r="DE7" s="66"/>
      <c r="DF7" s="66"/>
      <c r="DG7" s="66"/>
      <c r="DH7" s="66"/>
      <c r="DI7" s="168"/>
      <c r="DJ7" s="67"/>
      <c r="DK7" s="69"/>
      <c r="DL7" s="69"/>
      <c r="DM7" s="69"/>
      <c r="DN7" s="69"/>
      <c r="DO7" s="69"/>
      <c r="DP7" s="69"/>
      <c r="DQ7" s="69"/>
      <c r="DR7" s="69"/>
      <c r="DS7" s="70"/>
      <c r="DT7" s="70"/>
      <c r="DU7" s="70"/>
      <c r="DV7" s="177"/>
      <c r="DW7" s="177"/>
      <c r="DX7" s="70"/>
      <c r="DY7" s="70"/>
      <c r="DZ7" s="71"/>
      <c r="EA7" s="71"/>
      <c r="EB7" s="180"/>
      <c r="EC7" s="180"/>
      <c r="ED7" s="71"/>
      <c r="EE7" s="180"/>
      <c r="EF7" s="66"/>
      <c r="EG7" s="66"/>
      <c r="EH7" s="79"/>
      <c r="EI7" s="66"/>
      <c r="EJ7" s="79"/>
      <c r="EK7" s="66"/>
      <c r="EL7" s="168"/>
      <c r="EM7" s="67"/>
      <c r="EN7" s="78"/>
      <c r="EO7" s="78"/>
      <c r="EP7" s="78"/>
      <c r="EQ7" s="78"/>
      <c r="ER7" s="79"/>
      <c r="ES7" s="66"/>
      <c r="ET7" s="66"/>
      <c r="EU7" s="66"/>
      <c r="EV7" s="79"/>
      <c r="EW7" s="66"/>
      <c r="EX7" s="66"/>
      <c r="EY7" s="66"/>
      <c r="EZ7" s="66"/>
      <c r="FA7" s="66"/>
      <c r="FB7" s="66"/>
    </row>
    <row r="8" spans="1:160" hidden="1" x14ac:dyDescent="0.3">
      <c r="A8" s="52">
        <v>44384</v>
      </c>
      <c r="C8" s="69">
        <v>165.79999999999998</v>
      </c>
      <c r="D8" s="69">
        <v>48.085000000000008</v>
      </c>
      <c r="E8" s="69">
        <v>19.45</v>
      </c>
      <c r="F8" s="69">
        <f>C8-D8</f>
        <v>117.71499999999997</v>
      </c>
      <c r="X8" s="72"/>
      <c r="Y8" s="73"/>
      <c r="Z8" s="73"/>
      <c r="AA8" s="72"/>
      <c r="AB8" s="72"/>
      <c r="AC8" s="72"/>
      <c r="AD8" s="72"/>
      <c r="AE8" s="72"/>
      <c r="AF8" s="72"/>
      <c r="AW8" s="72"/>
      <c r="AX8" s="75"/>
      <c r="AY8" s="75"/>
      <c r="AZ8" s="75"/>
      <c r="BA8" s="75"/>
      <c r="BB8" s="72"/>
      <c r="BC8" s="72"/>
      <c r="BD8" s="72"/>
      <c r="BE8" s="72"/>
      <c r="CC8" s="72"/>
      <c r="CD8" s="72"/>
      <c r="CE8" s="72"/>
      <c r="CF8" s="72"/>
      <c r="CG8" s="72"/>
      <c r="CH8" s="72"/>
      <c r="CI8" s="72"/>
      <c r="CJ8" s="72"/>
      <c r="CM8" s="69"/>
      <c r="CN8" s="69"/>
      <c r="CO8" s="69"/>
      <c r="CP8" s="69"/>
      <c r="CQ8" s="76"/>
      <c r="CR8" s="76"/>
      <c r="CS8" s="177"/>
      <c r="CT8" s="70"/>
      <c r="CU8" s="76"/>
      <c r="CV8" s="77"/>
      <c r="CW8" s="77"/>
      <c r="CX8" s="77"/>
      <c r="CY8" s="77"/>
      <c r="CZ8" s="77"/>
      <c r="DA8" s="66"/>
      <c r="DB8" s="66"/>
      <c r="DC8" s="66"/>
      <c r="DD8" s="66"/>
      <c r="DE8" s="66"/>
      <c r="DF8" s="66"/>
      <c r="DG8" s="66"/>
      <c r="DH8" s="66"/>
      <c r="DI8" s="168"/>
      <c r="DJ8" s="67"/>
      <c r="DK8" s="69"/>
      <c r="DL8" s="69"/>
      <c r="DM8" s="69"/>
      <c r="DN8" s="69"/>
      <c r="DO8" s="69"/>
      <c r="DP8" s="69"/>
      <c r="DQ8" s="69"/>
      <c r="DR8" s="69"/>
      <c r="DS8" s="70"/>
      <c r="DT8" s="70"/>
      <c r="DU8" s="70"/>
      <c r="DV8" s="177"/>
      <c r="DW8" s="177"/>
      <c r="DX8" s="70"/>
      <c r="DY8" s="70"/>
      <c r="DZ8" s="71"/>
      <c r="EA8" s="71"/>
      <c r="EB8" s="180"/>
      <c r="EC8" s="180"/>
      <c r="ED8" s="71"/>
      <c r="EE8" s="180"/>
      <c r="EF8" s="66"/>
      <c r="EG8" s="66"/>
      <c r="EH8" s="79"/>
      <c r="EI8" s="66"/>
      <c r="EJ8" s="79"/>
      <c r="EK8" s="66"/>
      <c r="EL8" s="168"/>
      <c r="EM8" s="67"/>
      <c r="EN8" s="78"/>
      <c r="EO8" s="78"/>
      <c r="EP8" s="78"/>
      <c r="EQ8" s="78"/>
      <c r="ER8" s="79"/>
      <c r="ES8" s="66"/>
      <c r="ET8" s="66"/>
      <c r="EU8" s="66"/>
      <c r="EV8" s="79"/>
      <c r="EW8" s="66"/>
      <c r="EX8" s="66"/>
      <c r="EY8" s="66"/>
      <c r="EZ8" s="66"/>
      <c r="FA8" s="66"/>
      <c r="FB8" s="66"/>
    </row>
    <row r="9" spans="1:160" hidden="1" x14ac:dyDescent="0.3">
      <c r="A9" s="52">
        <v>44404</v>
      </c>
      <c r="C9" s="69">
        <v>229.20000000000002</v>
      </c>
      <c r="D9" s="69">
        <v>42.93</v>
      </c>
      <c r="E9" s="69">
        <v>13.5</v>
      </c>
      <c r="F9" s="69">
        <f t="shared" ref="F9:F61" si="0">C9-D9</f>
        <v>186.27</v>
      </c>
      <c r="X9" s="72"/>
      <c r="Y9" s="73"/>
      <c r="Z9" s="73"/>
      <c r="AA9" s="72"/>
      <c r="AB9" s="72"/>
      <c r="AC9" s="72"/>
      <c r="AD9" s="72"/>
      <c r="AE9" s="72"/>
      <c r="AF9" s="72"/>
      <c r="AH9" s="74">
        <v>6.36</v>
      </c>
      <c r="AW9" s="72"/>
      <c r="AX9" s="75"/>
      <c r="AY9" s="75"/>
      <c r="AZ9" s="75"/>
      <c r="BA9" s="75"/>
      <c r="BB9" s="72"/>
      <c r="BC9" s="72"/>
      <c r="BD9" s="72"/>
      <c r="BE9" s="72"/>
      <c r="CC9" s="72"/>
      <c r="CD9" s="72"/>
      <c r="CE9" s="72"/>
      <c r="CF9" s="72"/>
      <c r="CG9" s="72"/>
      <c r="CH9" s="72"/>
      <c r="CI9" s="72"/>
      <c r="CJ9" s="72"/>
      <c r="CM9" s="69"/>
      <c r="CN9" s="69"/>
      <c r="CO9" s="69"/>
      <c r="CP9" s="69"/>
      <c r="CQ9" s="76"/>
      <c r="CR9" s="76"/>
      <c r="CS9" s="177"/>
      <c r="CT9" s="70"/>
      <c r="CU9" s="76"/>
      <c r="CV9" s="77"/>
      <c r="CW9" s="77"/>
      <c r="CX9" s="77"/>
      <c r="CY9" s="77"/>
      <c r="CZ9" s="77"/>
      <c r="DA9" s="66"/>
      <c r="DB9" s="66"/>
      <c r="DC9" s="66"/>
      <c r="DD9" s="66"/>
      <c r="DE9" s="66"/>
      <c r="DF9" s="66"/>
      <c r="DG9" s="66"/>
      <c r="DH9" s="66"/>
      <c r="DI9" s="168"/>
      <c r="DJ9" s="67"/>
      <c r="DK9" s="69"/>
      <c r="DL9" s="69"/>
      <c r="DM9" s="69"/>
      <c r="DN9" s="69"/>
      <c r="DO9" s="69"/>
      <c r="DP9" s="69"/>
      <c r="DQ9" s="69"/>
      <c r="DR9" s="69"/>
      <c r="DS9" s="70"/>
      <c r="DT9" s="70"/>
      <c r="DU9" s="70"/>
      <c r="DV9" s="177"/>
      <c r="DW9" s="177"/>
      <c r="DX9" s="70"/>
      <c r="DY9" s="70"/>
      <c r="DZ9" s="71"/>
      <c r="EA9" s="71"/>
      <c r="EB9" s="180"/>
      <c r="EC9" s="180"/>
      <c r="ED9" s="71"/>
      <c r="EE9" s="180"/>
      <c r="EF9" s="66"/>
      <c r="EG9" s="66"/>
      <c r="EH9" s="79"/>
      <c r="EI9" s="66"/>
      <c r="EJ9" s="79"/>
      <c r="EK9" s="66"/>
      <c r="EL9" s="168"/>
      <c r="EM9" s="67"/>
      <c r="EN9" s="78"/>
      <c r="EO9" s="78"/>
      <c r="EP9" s="78"/>
      <c r="EQ9" s="78"/>
      <c r="ER9" s="79"/>
      <c r="ES9" s="66"/>
      <c r="ET9" s="66"/>
      <c r="EU9" s="66"/>
      <c r="EV9" s="79"/>
      <c r="EW9" s="66"/>
      <c r="EX9" s="66"/>
      <c r="EY9" s="66"/>
      <c r="EZ9" s="66"/>
      <c r="FA9" s="66"/>
      <c r="FB9" s="66"/>
    </row>
    <row r="10" spans="1:160" hidden="1" x14ac:dyDescent="0.3">
      <c r="A10" s="52">
        <v>44405</v>
      </c>
      <c r="C10" s="69">
        <v>136.9</v>
      </c>
      <c r="D10" s="69">
        <v>60.59</v>
      </c>
      <c r="E10" s="69">
        <v>15.209999999999999</v>
      </c>
      <c r="F10" s="69">
        <f t="shared" si="0"/>
        <v>76.31</v>
      </c>
      <c r="X10" s="72"/>
      <c r="Y10" s="73"/>
      <c r="Z10" s="73"/>
      <c r="AA10" s="72"/>
      <c r="AB10" s="72"/>
      <c r="AC10" s="72"/>
      <c r="AD10" s="72"/>
      <c r="AE10" s="72"/>
      <c r="AF10" s="72"/>
      <c r="AH10" s="74">
        <v>6.88</v>
      </c>
      <c r="AW10" s="72"/>
      <c r="AX10" s="75"/>
      <c r="AY10" s="75"/>
      <c r="AZ10" s="75"/>
      <c r="BA10" s="75"/>
      <c r="BB10" s="72"/>
      <c r="BC10" s="72"/>
      <c r="BD10" s="72"/>
      <c r="BE10" s="72"/>
      <c r="BH10" s="69">
        <v>638.5</v>
      </c>
      <c r="BI10" s="69">
        <v>63.710000000000008</v>
      </c>
      <c r="BJ10" s="69">
        <v>57.79</v>
      </c>
      <c r="BK10" s="69">
        <f t="shared" ref="BK10:BK31" si="1">BH10-BI10</f>
        <v>574.79</v>
      </c>
      <c r="CC10" s="72"/>
      <c r="CD10" s="72"/>
      <c r="CE10" s="72"/>
      <c r="CF10" s="72"/>
      <c r="CG10" s="72"/>
      <c r="CH10" s="72"/>
      <c r="CI10" s="72"/>
      <c r="CJ10" s="72"/>
      <c r="CL10" s="74">
        <v>6.62</v>
      </c>
      <c r="CM10" s="69"/>
      <c r="CN10" s="69"/>
      <c r="CO10" s="69"/>
      <c r="CP10" s="69"/>
      <c r="CQ10" s="76"/>
      <c r="CR10" s="76"/>
      <c r="CS10" s="177"/>
      <c r="CT10" s="70"/>
      <c r="CU10" s="76"/>
      <c r="CV10" s="77"/>
      <c r="CW10" s="77"/>
      <c r="CX10" s="77"/>
      <c r="CY10" s="77"/>
      <c r="CZ10" s="77"/>
      <c r="DA10" s="66"/>
      <c r="DB10" s="66"/>
      <c r="DC10" s="66"/>
      <c r="DD10" s="66"/>
      <c r="DE10" s="66"/>
      <c r="DF10" s="66"/>
      <c r="DG10" s="66"/>
      <c r="DH10" s="66"/>
      <c r="DI10" s="168"/>
      <c r="DJ10" s="67"/>
      <c r="DK10" s="69"/>
      <c r="DL10" s="69"/>
      <c r="DM10" s="69"/>
      <c r="DN10" s="69"/>
      <c r="DO10" s="69"/>
      <c r="DP10" s="69"/>
      <c r="DQ10" s="69"/>
      <c r="DR10" s="69"/>
      <c r="DS10" s="70"/>
      <c r="DT10" s="70"/>
      <c r="DU10" s="70"/>
      <c r="DV10" s="177"/>
      <c r="DW10" s="177"/>
      <c r="DX10" s="70"/>
      <c r="DY10" s="70"/>
      <c r="DZ10" s="71"/>
      <c r="EA10" s="71"/>
      <c r="EB10" s="180"/>
      <c r="EC10" s="180"/>
      <c r="ED10" s="71"/>
      <c r="EE10" s="180"/>
      <c r="EF10" s="66"/>
      <c r="EG10" s="66"/>
      <c r="EH10" s="79"/>
      <c r="EI10" s="66"/>
      <c r="EJ10" s="79"/>
      <c r="EK10" s="66"/>
      <c r="EL10" s="168"/>
      <c r="EM10" s="67"/>
      <c r="EN10" s="78">
        <f t="shared" ref="EN10:EN21" si="2">(1-BH10/C10)*100</f>
        <v>-366.39883126369614</v>
      </c>
      <c r="EO10" s="78">
        <f t="shared" ref="EO10:EO21" si="3">(1-BI10/D10)*100</f>
        <v>-5.1493645816141242</v>
      </c>
      <c r="EP10" s="78">
        <f t="shared" ref="EP10:EP21" si="4">(1-BJ10/E10)*100</f>
        <v>-279.94740302432615</v>
      </c>
      <c r="EQ10" s="78">
        <f t="shared" ref="EQ10:EQ21" si="5">(1-BK10/F10)*100</f>
        <v>-653.23024505307285</v>
      </c>
      <c r="ER10" s="79"/>
      <c r="ES10" s="66"/>
      <c r="ET10" s="66"/>
      <c r="EU10" s="66"/>
      <c r="EV10" s="79"/>
      <c r="EW10" s="66"/>
      <c r="EX10" s="66"/>
      <c r="EY10" s="66"/>
      <c r="EZ10" s="66"/>
      <c r="FA10" s="66"/>
      <c r="FB10" s="66"/>
    </row>
    <row r="11" spans="1:160" hidden="1" x14ac:dyDescent="0.3">
      <c r="A11" s="52">
        <v>44406</v>
      </c>
      <c r="C11" s="69">
        <v>191.9</v>
      </c>
      <c r="D11" s="69">
        <v>39.93</v>
      </c>
      <c r="E11" s="69">
        <v>11.09</v>
      </c>
      <c r="F11" s="69">
        <f t="shared" si="0"/>
        <v>151.97</v>
      </c>
      <c r="X11" s="72"/>
      <c r="Y11" s="73"/>
      <c r="Z11" s="73"/>
      <c r="AA11" s="72"/>
      <c r="AB11" s="72"/>
      <c r="AC11" s="72"/>
      <c r="AD11" s="72"/>
      <c r="AE11" s="72"/>
      <c r="AF11" s="72"/>
      <c r="AH11" s="74">
        <v>6.6</v>
      </c>
      <c r="AW11" s="72"/>
      <c r="AX11" s="75"/>
      <c r="AY11" s="75"/>
      <c r="AZ11" s="75"/>
      <c r="BA11" s="75"/>
      <c r="BB11" s="72"/>
      <c r="BC11" s="72"/>
      <c r="BD11" s="72"/>
      <c r="BE11" s="72"/>
      <c r="BH11" s="69">
        <v>688.8</v>
      </c>
      <c r="BI11" s="69">
        <v>64.62</v>
      </c>
      <c r="BJ11" s="69">
        <v>81.489999999999995</v>
      </c>
      <c r="BK11" s="69">
        <f t="shared" si="1"/>
        <v>624.17999999999995</v>
      </c>
      <c r="CC11" s="72"/>
      <c r="CD11" s="72"/>
      <c r="CE11" s="72"/>
      <c r="CF11" s="72"/>
      <c r="CG11" s="72"/>
      <c r="CH11" s="72"/>
      <c r="CI11" s="72"/>
      <c r="CJ11" s="72"/>
      <c r="CL11" s="74">
        <v>6.67</v>
      </c>
      <c r="CM11" s="69"/>
      <c r="CN11" s="69"/>
      <c r="CO11" s="69"/>
      <c r="CP11" s="69"/>
      <c r="CQ11" s="76"/>
      <c r="CR11" s="76"/>
      <c r="CS11" s="177"/>
      <c r="CT11" s="70"/>
      <c r="CU11" s="76"/>
      <c r="CV11" s="77"/>
      <c r="CW11" s="77"/>
      <c r="CX11" s="77"/>
      <c r="CY11" s="77"/>
      <c r="CZ11" s="77"/>
      <c r="DA11" s="66"/>
      <c r="DB11" s="66"/>
      <c r="DC11" s="66"/>
      <c r="DD11" s="66"/>
      <c r="DE11" s="66"/>
      <c r="DF11" s="66"/>
      <c r="DG11" s="66"/>
      <c r="DH11" s="66"/>
      <c r="DI11" s="168"/>
      <c r="DJ11" s="67"/>
      <c r="DK11" s="69"/>
      <c r="DL11" s="69"/>
      <c r="DM11" s="69"/>
      <c r="DN11" s="69"/>
      <c r="DO11" s="69"/>
      <c r="DP11" s="69"/>
      <c r="DQ11" s="69"/>
      <c r="DR11" s="69"/>
      <c r="DS11" s="70"/>
      <c r="DT11" s="70"/>
      <c r="DU11" s="70"/>
      <c r="DV11" s="177"/>
      <c r="DW11" s="177"/>
      <c r="DX11" s="70"/>
      <c r="DY11" s="70"/>
      <c r="DZ11" s="71"/>
      <c r="EA11" s="71"/>
      <c r="EB11" s="180"/>
      <c r="EC11" s="180"/>
      <c r="ED11" s="71"/>
      <c r="EE11" s="180"/>
      <c r="EF11" s="66"/>
      <c r="EG11" s="66"/>
      <c r="EH11" s="79"/>
      <c r="EI11" s="66"/>
      <c r="EJ11" s="79"/>
      <c r="EK11" s="66"/>
      <c r="EL11" s="168"/>
      <c r="EM11" s="67"/>
      <c r="EN11" s="78">
        <f t="shared" si="2"/>
        <v>-258.93694632621151</v>
      </c>
      <c r="EO11" s="78">
        <f t="shared" si="3"/>
        <v>-61.833208114199856</v>
      </c>
      <c r="EP11" s="78">
        <f t="shared" si="4"/>
        <v>-634.80613165013528</v>
      </c>
      <c r="EQ11" s="78">
        <f t="shared" si="5"/>
        <v>-310.72580114496276</v>
      </c>
      <c r="ER11" s="79"/>
      <c r="ES11" s="66"/>
      <c r="ET11" s="66"/>
      <c r="EU11" s="66"/>
      <c r="EV11" s="79"/>
      <c r="EW11" s="66"/>
      <c r="EX11" s="66"/>
      <c r="EY11" s="66"/>
      <c r="EZ11" s="66"/>
      <c r="FA11" s="66"/>
      <c r="FB11" s="66"/>
    </row>
    <row r="12" spans="1:160" hidden="1" x14ac:dyDescent="0.3">
      <c r="A12" s="52">
        <v>44407</v>
      </c>
      <c r="C12" s="69">
        <v>176.70000000000002</v>
      </c>
      <c r="D12" s="69">
        <v>42.03</v>
      </c>
      <c r="E12" s="69">
        <v>12.07</v>
      </c>
      <c r="F12" s="69">
        <f t="shared" si="0"/>
        <v>134.67000000000002</v>
      </c>
      <c r="X12" s="72"/>
      <c r="Y12" s="73"/>
      <c r="Z12" s="73"/>
      <c r="AA12" s="72"/>
      <c r="AB12" s="72"/>
      <c r="AC12" s="72"/>
      <c r="AD12" s="72"/>
      <c r="AE12" s="72"/>
      <c r="AF12" s="72"/>
      <c r="AH12" s="74">
        <v>6.6</v>
      </c>
      <c r="AW12" s="72"/>
      <c r="AX12" s="75"/>
      <c r="AY12" s="75"/>
      <c r="AZ12" s="75"/>
      <c r="BA12" s="75"/>
      <c r="BB12" s="72"/>
      <c r="BC12" s="72"/>
      <c r="BD12" s="72"/>
      <c r="BE12" s="72"/>
      <c r="BH12" s="69">
        <v>275.79999999999995</v>
      </c>
      <c r="BI12" s="69">
        <v>41.41</v>
      </c>
      <c r="BJ12" s="69">
        <v>25.16</v>
      </c>
      <c r="BK12" s="69">
        <f t="shared" si="1"/>
        <v>234.38999999999996</v>
      </c>
      <c r="CC12" s="72"/>
      <c r="CD12" s="72"/>
      <c r="CE12" s="72"/>
      <c r="CF12" s="72"/>
      <c r="CG12" s="72"/>
      <c r="CH12" s="72"/>
      <c r="CI12" s="72"/>
      <c r="CJ12" s="72"/>
      <c r="CL12" s="74">
        <v>6.51</v>
      </c>
      <c r="CM12" s="69"/>
      <c r="CN12" s="69"/>
      <c r="CO12" s="69"/>
      <c r="CP12" s="69"/>
      <c r="CQ12" s="76"/>
      <c r="CR12" s="76"/>
      <c r="CS12" s="177"/>
      <c r="CT12" s="70"/>
      <c r="CU12" s="76"/>
      <c r="CV12" s="77"/>
      <c r="CW12" s="77"/>
      <c r="CX12" s="77"/>
      <c r="CY12" s="77"/>
      <c r="CZ12" s="77"/>
      <c r="DA12" s="66"/>
      <c r="DB12" s="66"/>
      <c r="DC12" s="66"/>
      <c r="DD12" s="66"/>
      <c r="DE12" s="66"/>
      <c r="DF12" s="66"/>
      <c r="DG12" s="66"/>
      <c r="DH12" s="66"/>
      <c r="DI12" s="168"/>
      <c r="DJ12" s="67"/>
      <c r="DK12" s="69"/>
      <c r="DL12" s="69"/>
      <c r="DM12" s="69"/>
      <c r="DN12" s="69"/>
      <c r="DO12" s="69"/>
      <c r="DP12" s="69"/>
      <c r="DQ12" s="69"/>
      <c r="DR12" s="69"/>
      <c r="DS12" s="70"/>
      <c r="DT12" s="70"/>
      <c r="DU12" s="70"/>
      <c r="DV12" s="177"/>
      <c r="DW12" s="177"/>
      <c r="DX12" s="70"/>
      <c r="DY12" s="70"/>
      <c r="DZ12" s="71"/>
      <c r="EA12" s="71"/>
      <c r="EB12" s="180"/>
      <c r="EC12" s="180"/>
      <c r="ED12" s="71"/>
      <c r="EE12" s="180"/>
      <c r="EF12" s="66"/>
      <c r="EG12" s="66"/>
      <c r="EH12" s="79"/>
      <c r="EI12" s="66"/>
      <c r="EJ12" s="79"/>
      <c r="EK12" s="66"/>
      <c r="EL12" s="168"/>
      <c r="EM12" s="67"/>
      <c r="EN12" s="78">
        <f t="shared" si="2"/>
        <v>-56.083757781550617</v>
      </c>
      <c r="EO12" s="78">
        <f t="shared" si="3"/>
        <v>1.4751368070425985</v>
      </c>
      <c r="EP12" s="78">
        <f t="shared" si="4"/>
        <v>-108.4507042253521</v>
      </c>
      <c r="EQ12" s="78">
        <f t="shared" si="5"/>
        <v>-74.047672087324528</v>
      </c>
      <c r="ER12" s="79"/>
      <c r="ES12" s="66"/>
      <c r="ET12" s="66"/>
      <c r="EU12" s="66"/>
      <c r="EV12" s="79"/>
      <c r="EW12" s="66"/>
      <c r="EX12" s="66"/>
      <c r="EY12" s="66"/>
      <c r="EZ12" s="66"/>
      <c r="FA12" s="66"/>
      <c r="FB12" s="66"/>
    </row>
    <row r="13" spans="1:160" hidden="1" x14ac:dyDescent="0.3">
      <c r="A13" s="52">
        <v>44410</v>
      </c>
      <c r="C13" s="69">
        <v>175.39999999999998</v>
      </c>
      <c r="D13" s="69">
        <v>38.11</v>
      </c>
      <c r="E13" s="69">
        <v>11.92</v>
      </c>
      <c r="F13" s="69">
        <f t="shared" si="0"/>
        <v>137.28999999999996</v>
      </c>
      <c r="X13" s="72"/>
      <c r="Y13" s="73"/>
      <c r="Z13" s="73"/>
      <c r="AA13" s="72"/>
      <c r="AB13" s="72"/>
      <c r="AC13" s="72"/>
      <c r="AD13" s="72"/>
      <c r="AE13" s="72"/>
      <c r="AF13" s="72"/>
      <c r="AH13" s="74">
        <v>6.62</v>
      </c>
      <c r="AW13" s="72"/>
      <c r="AX13" s="75"/>
      <c r="AY13" s="75"/>
      <c r="AZ13" s="75"/>
      <c r="BA13" s="75"/>
      <c r="BB13" s="72"/>
      <c r="BC13" s="72"/>
      <c r="BD13" s="72"/>
      <c r="BE13" s="72"/>
      <c r="BH13" s="69">
        <v>213.4</v>
      </c>
      <c r="BI13" s="69">
        <v>60.940000000000005</v>
      </c>
      <c r="BJ13" s="69">
        <v>22.57</v>
      </c>
      <c r="BK13" s="69">
        <f t="shared" si="1"/>
        <v>152.46</v>
      </c>
      <c r="CC13" s="72"/>
      <c r="CD13" s="72"/>
      <c r="CE13" s="72"/>
      <c r="CF13" s="72"/>
      <c r="CG13" s="72"/>
      <c r="CH13" s="72"/>
      <c r="CI13" s="72"/>
      <c r="CJ13" s="72"/>
      <c r="CL13" s="74">
        <v>6.73</v>
      </c>
      <c r="CM13" s="69"/>
      <c r="CN13" s="69"/>
      <c r="CO13" s="69"/>
      <c r="CP13" s="69"/>
      <c r="CQ13" s="76"/>
      <c r="CR13" s="76"/>
      <c r="CS13" s="177"/>
      <c r="CT13" s="70"/>
      <c r="CU13" s="76"/>
      <c r="CV13" s="77"/>
      <c r="CW13" s="77"/>
      <c r="CX13" s="77"/>
      <c r="CY13" s="77"/>
      <c r="CZ13" s="77"/>
      <c r="DA13" s="66"/>
      <c r="DB13" s="66"/>
      <c r="DC13" s="66"/>
      <c r="DD13" s="66"/>
      <c r="DE13" s="66"/>
      <c r="DF13" s="66"/>
      <c r="DG13" s="66"/>
      <c r="DH13" s="66"/>
      <c r="DI13" s="168"/>
      <c r="DJ13" s="67"/>
      <c r="DK13" s="69"/>
      <c r="DL13" s="69"/>
      <c r="DM13" s="69"/>
      <c r="DN13" s="69"/>
      <c r="DO13" s="69"/>
      <c r="DP13" s="69"/>
      <c r="DQ13" s="69"/>
      <c r="DR13" s="69"/>
      <c r="DS13" s="70"/>
      <c r="DT13" s="70"/>
      <c r="DU13" s="70"/>
      <c r="DV13" s="177"/>
      <c r="DW13" s="177"/>
      <c r="DX13" s="70"/>
      <c r="DY13" s="70"/>
      <c r="DZ13" s="71"/>
      <c r="EA13" s="71"/>
      <c r="EB13" s="180"/>
      <c r="EC13" s="180"/>
      <c r="ED13" s="71"/>
      <c r="EE13" s="180"/>
      <c r="EF13" s="66"/>
      <c r="EG13" s="66"/>
      <c r="EH13" s="79"/>
      <c r="EI13" s="66"/>
      <c r="EJ13" s="79"/>
      <c r="EK13" s="66"/>
      <c r="EL13" s="168"/>
      <c r="EM13" s="67"/>
      <c r="EN13" s="78">
        <f t="shared" si="2"/>
        <v>-21.664766248574697</v>
      </c>
      <c r="EO13" s="78">
        <f t="shared" si="3"/>
        <v>-59.905536604565746</v>
      </c>
      <c r="EP13" s="78">
        <f t="shared" si="4"/>
        <v>-89.345637583892625</v>
      </c>
      <c r="EQ13" s="78">
        <f t="shared" si="5"/>
        <v>-11.049603030082334</v>
      </c>
      <c r="ER13" s="79"/>
      <c r="ES13" s="66"/>
      <c r="ET13" s="66"/>
      <c r="EU13" s="66"/>
      <c r="EV13" s="79"/>
      <c r="EW13" s="66"/>
      <c r="EX13" s="66"/>
      <c r="EY13" s="66"/>
      <c r="EZ13" s="66"/>
      <c r="FA13" s="66"/>
      <c r="FB13" s="66"/>
    </row>
    <row r="14" spans="1:160" hidden="1" x14ac:dyDescent="0.3">
      <c r="A14" s="52">
        <v>44411</v>
      </c>
      <c r="C14" s="69">
        <v>147.20000000000002</v>
      </c>
      <c r="D14" s="69">
        <v>55.69</v>
      </c>
      <c r="E14" s="69">
        <v>15.329999999999998</v>
      </c>
      <c r="F14" s="69">
        <f t="shared" si="0"/>
        <v>91.510000000000019</v>
      </c>
      <c r="K14" s="70">
        <v>46.097999999999999</v>
      </c>
      <c r="N14" s="70">
        <v>0.95899999999999996</v>
      </c>
      <c r="P14" s="70">
        <v>7.3369999999999997</v>
      </c>
      <c r="Q14" s="70">
        <v>14.165000000000001</v>
      </c>
      <c r="X14" s="72"/>
      <c r="Y14" s="73"/>
      <c r="Z14" s="73"/>
      <c r="AA14" s="72"/>
      <c r="AB14" s="72"/>
      <c r="AC14" s="72"/>
      <c r="AD14" s="72"/>
      <c r="AE14" s="72"/>
      <c r="AF14" s="72"/>
      <c r="AH14" s="74">
        <v>7.38</v>
      </c>
      <c r="AW14" s="72"/>
      <c r="AX14" s="75"/>
      <c r="AY14" s="75"/>
      <c r="AZ14" s="75"/>
      <c r="BA14" s="75"/>
      <c r="BB14" s="72"/>
      <c r="BC14" s="72"/>
      <c r="BD14" s="72"/>
      <c r="BE14" s="72"/>
      <c r="BH14" s="69">
        <v>190.5</v>
      </c>
      <c r="BI14" s="69">
        <v>48.92</v>
      </c>
      <c r="BJ14" s="69">
        <v>17.25</v>
      </c>
      <c r="BK14" s="69">
        <f t="shared" si="1"/>
        <v>141.57999999999998</v>
      </c>
      <c r="BP14" s="70">
        <v>48.263499999999993</v>
      </c>
      <c r="BS14" s="70">
        <v>1.073</v>
      </c>
      <c r="BU14" s="70">
        <v>1.8265</v>
      </c>
      <c r="BV14" s="70">
        <v>3.3005</v>
      </c>
      <c r="CC14" s="72"/>
      <c r="CD14" s="72"/>
      <c r="CE14" s="72"/>
      <c r="CF14" s="72"/>
      <c r="CG14" s="72"/>
      <c r="CH14" s="72"/>
      <c r="CI14" s="72"/>
      <c r="CJ14" s="72"/>
      <c r="CL14" s="74">
        <v>6.73</v>
      </c>
      <c r="CM14" s="69"/>
      <c r="CN14" s="69"/>
      <c r="CO14" s="69"/>
      <c r="CP14" s="69"/>
      <c r="CQ14" s="76"/>
      <c r="CR14" s="76"/>
      <c r="CS14" s="177"/>
      <c r="CT14" s="70"/>
      <c r="CU14" s="76"/>
      <c r="CV14" s="77"/>
      <c r="CW14" s="77"/>
      <c r="CX14" s="77"/>
      <c r="CY14" s="77"/>
      <c r="CZ14" s="77"/>
      <c r="DA14" s="66"/>
      <c r="DB14" s="66"/>
      <c r="DC14" s="66"/>
      <c r="DD14" s="66"/>
      <c r="DE14" s="66"/>
      <c r="DF14" s="66"/>
      <c r="DG14" s="66"/>
      <c r="DH14" s="66"/>
      <c r="DI14" s="168"/>
      <c r="DJ14" s="67"/>
      <c r="DK14" s="69"/>
      <c r="DL14" s="69"/>
      <c r="DM14" s="69"/>
      <c r="DN14" s="69"/>
      <c r="DO14" s="69"/>
      <c r="DP14" s="69"/>
      <c r="DQ14" s="69"/>
      <c r="DR14" s="69"/>
      <c r="DS14" s="70"/>
      <c r="DT14" s="70"/>
      <c r="DU14" s="70"/>
      <c r="DV14" s="177"/>
      <c r="DW14" s="177"/>
      <c r="DX14" s="70"/>
      <c r="DY14" s="70"/>
      <c r="DZ14" s="71"/>
      <c r="EA14" s="71"/>
      <c r="EB14" s="180"/>
      <c r="EC14" s="180"/>
      <c r="ED14" s="71"/>
      <c r="EE14" s="180"/>
      <c r="EF14" s="66"/>
      <c r="EG14" s="66"/>
      <c r="EH14" s="79"/>
      <c r="EI14" s="66"/>
      <c r="EJ14" s="79"/>
      <c r="EK14" s="66"/>
      <c r="EL14" s="168"/>
      <c r="EM14" s="67"/>
      <c r="EN14" s="78">
        <f t="shared" si="2"/>
        <v>-29.415760869565212</v>
      </c>
      <c r="EO14" s="78">
        <f t="shared" si="3"/>
        <v>12.156581073801398</v>
      </c>
      <c r="EP14" s="78">
        <f t="shared" si="4"/>
        <v>-12.524461839530353</v>
      </c>
      <c r="EQ14" s="78">
        <f t="shared" si="5"/>
        <v>-54.715331657742269</v>
      </c>
      <c r="ER14" s="79"/>
      <c r="ES14" s="66"/>
      <c r="ET14" s="66"/>
      <c r="EU14" s="66"/>
      <c r="EV14" s="79"/>
      <c r="EW14" s="66"/>
      <c r="EX14" s="66"/>
      <c r="EY14" s="66"/>
      <c r="EZ14" s="66"/>
      <c r="FA14" s="66"/>
      <c r="FB14" s="66"/>
    </row>
    <row r="15" spans="1:160" hidden="1" x14ac:dyDescent="0.3">
      <c r="A15" s="52">
        <v>44412</v>
      </c>
      <c r="C15" s="69">
        <v>140.19999999999999</v>
      </c>
      <c r="D15" s="69">
        <v>54.25</v>
      </c>
      <c r="E15" s="69">
        <v>20.255000000000003</v>
      </c>
      <c r="F15" s="69">
        <f t="shared" si="0"/>
        <v>85.949999999999989</v>
      </c>
      <c r="K15" s="70">
        <v>44.518000000000001</v>
      </c>
      <c r="N15" s="70">
        <v>1.034</v>
      </c>
      <c r="P15" s="70">
        <v>5.9264999999999999</v>
      </c>
      <c r="Q15" s="70">
        <v>15.952500000000001</v>
      </c>
      <c r="X15" s="72">
        <f>13.2*4</f>
        <v>52.8</v>
      </c>
      <c r="Y15" s="73"/>
      <c r="Z15" s="73"/>
      <c r="AA15" s="72"/>
      <c r="AB15" s="72"/>
      <c r="AC15" s="72"/>
      <c r="AD15" s="72"/>
      <c r="AE15" s="72"/>
      <c r="AF15" s="72"/>
      <c r="AW15" s="72"/>
      <c r="AX15" s="75"/>
      <c r="AY15" s="75"/>
      <c r="AZ15" s="75"/>
      <c r="BA15" s="75"/>
      <c r="BB15" s="72"/>
      <c r="BC15" s="72"/>
      <c r="BD15" s="72"/>
      <c r="BE15" s="72"/>
      <c r="BH15" s="69">
        <v>183.9</v>
      </c>
      <c r="BI15" s="69">
        <v>60.15</v>
      </c>
      <c r="BJ15" s="69">
        <v>26.520000000000003</v>
      </c>
      <c r="BK15" s="69">
        <f t="shared" si="1"/>
        <v>123.75</v>
      </c>
      <c r="BP15" s="70">
        <v>47.121000000000002</v>
      </c>
      <c r="BS15" s="70">
        <v>1.204</v>
      </c>
      <c r="BU15" s="70">
        <v>1.2370000000000001</v>
      </c>
      <c r="BV15" s="70">
        <v>3.1424999999999996</v>
      </c>
      <c r="CC15" s="72"/>
      <c r="CD15" s="72"/>
      <c r="CE15" s="72"/>
      <c r="CF15" s="72"/>
      <c r="CG15" s="72"/>
      <c r="CH15" s="72"/>
      <c r="CI15" s="72"/>
      <c r="CJ15" s="72"/>
      <c r="CM15" s="69"/>
      <c r="CN15" s="69"/>
      <c r="CO15" s="69"/>
      <c r="CP15" s="69"/>
      <c r="CQ15" s="76"/>
      <c r="CR15" s="76"/>
      <c r="CS15" s="177"/>
      <c r="CT15" s="70"/>
      <c r="CU15" s="76"/>
      <c r="CV15" s="77"/>
      <c r="CW15" s="77"/>
      <c r="CX15" s="77"/>
      <c r="CY15" s="77"/>
      <c r="CZ15" s="77"/>
      <c r="DA15" s="66"/>
      <c r="DB15" s="66"/>
      <c r="DC15" s="66"/>
      <c r="DD15" s="66"/>
      <c r="DE15" s="66"/>
      <c r="DF15" s="66"/>
      <c r="DG15" s="66"/>
      <c r="DH15" s="66"/>
      <c r="DI15" s="168"/>
      <c r="DJ15" s="67"/>
      <c r="DK15" s="69"/>
      <c r="DL15" s="69"/>
      <c r="DM15" s="69"/>
      <c r="DN15" s="69"/>
      <c r="DO15" s="69"/>
      <c r="DP15" s="69"/>
      <c r="DQ15" s="69"/>
      <c r="DR15" s="69"/>
      <c r="DS15" s="70"/>
      <c r="DT15" s="70"/>
      <c r="DU15" s="70"/>
      <c r="DV15" s="177"/>
      <c r="DW15" s="177"/>
      <c r="DX15" s="70"/>
      <c r="DY15" s="70"/>
      <c r="DZ15" s="71"/>
      <c r="EA15" s="71"/>
      <c r="EB15" s="180"/>
      <c r="EC15" s="180"/>
      <c r="ED15" s="71"/>
      <c r="EE15" s="180"/>
      <c r="EF15" s="66"/>
      <c r="EG15" s="66"/>
      <c r="EH15" s="79"/>
      <c r="EI15" s="66"/>
      <c r="EJ15" s="79"/>
      <c r="EK15" s="66"/>
      <c r="EL15" s="168"/>
      <c r="EM15" s="67"/>
      <c r="EN15" s="78">
        <f t="shared" si="2"/>
        <v>-31.16975748930102</v>
      </c>
      <c r="EO15" s="78">
        <f t="shared" si="3"/>
        <v>-10.875576036866352</v>
      </c>
      <c r="EP15" s="78">
        <f t="shared" si="4"/>
        <v>-30.930634411256474</v>
      </c>
      <c r="EQ15" s="78">
        <f t="shared" si="5"/>
        <v>-43.979057591623061</v>
      </c>
      <c r="ER15" s="79"/>
      <c r="ES15" s="66"/>
      <c r="ET15" s="66"/>
      <c r="EU15" s="66"/>
      <c r="EV15" s="79"/>
      <c r="EW15" s="66"/>
      <c r="EX15" s="66"/>
      <c r="EY15" s="66"/>
      <c r="EZ15" s="66"/>
      <c r="FA15" s="66"/>
      <c r="FB15" s="66"/>
    </row>
    <row r="16" spans="1:160" hidden="1" x14ac:dyDescent="0.3">
      <c r="A16" s="52">
        <v>44413</v>
      </c>
      <c r="C16" s="69">
        <v>228.45</v>
      </c>
      <c r="D16" s="69">
        <v>47.074999999999996</v>
      </c>
      <c r="E16" s="69">
        <v>21.82</v>
      </c>
      <c r="F16" s="69">
        <f t="shared" si="0"/>
        <v>181.375</v>
      </c>
      <c r="K16" s="70">
        <v>49.772999999999996</v>
      </c>
      <c r="N16" s="70">
        <v>0.81199999999999994</v>
      </c>
      <c r="P16" s="70">
        <v>9.5214999999999996</v>
      </c>
      <c r="Q16" s="70">
        <v>18.943000000000001</v>
      </c>
      <c r="X16" s="72"/>
      <c r="Y16" s="73"/>
      <c r="Z16" s="73"/>
      <c r="AA16" s="72"/>
      <c r="AB16" s="72"/>
      <c r="AC16" s="72"/>
      <c r="AD16" s="72"/>
      <c r="AE16" s="72"/>
      <c r="AF16" s="72"/>
      <c r="AW16" s="72"/>
      <c r="AX16" s="75"/>
      <c r="AY16" s="75"/>
      <c r="AZ16" s="75"/>
      <c r="BA16" s="75"/>
      <c r="BB16" s="72"/>
      <c r="BC16" s="72"/>
      <c r="BD16" s="72"/>
      <c r="BE16" s="72"/>
      <c r="BH16" s="69">
        <v>193.4</v>
      </c>
      <c r="BI16" s="69">
        <v>60.9</v>
      </c>
      <c r="BJ16" s="69">
        <v>28.57</v>
      </c>
      <c r="BK16" s="69">
        <f t="shared" si="1"/>
        <v>132.5</v>
      </c>
      <c r="BP16" s="70">
        <v>47.185499999999998</v>
      </c>
      <c r="BS16" s="70">
        <v>1.218</v>
      </c>
      <c r="BU16" s="70">
        <v>3.1</v>
      </c>
      <c r="BV16" s="70">
        <v>1.2959999999999998</v>
      </c>
      <c r="CC16" s="72"/>
      <c r="CD16" s="72"/>
      <c r="CE16" s="72"/>
      <c r="CF16" s="72"/>
      <c r="CG16" s="72"/>
      <c r="CH16" s="72"/>
      <c r="CI16" s="72"/>
      <c r="CJ16" s="72"/>
      <c r="CM16" s="69"/>
      <c r="CN16" s="69"/>
      <c r="CO16" s="69"/>
      <c r="CP16" s="69"/>
      <c r="CQ16" s="76"/>
      <c r="CR16" s="76"/>
      <c r="CS16" s="177"/>
      <c r="CT16" s="70"/>
      <c r="CU16" s="76"/>
      <c r="CV16" s="77"/>
      <c r="CW16" s="77"/>
      <c r="CX16" s="77"/>
      <c r="CY16" s="77"/>
      <c r="CZ16" s="77"/>
      <c r="DA16" s="66"/>
      <c r="DB16" s="66"/>
      <c r="DC16" s="66"/>
      <c r="DD16" s="66"/>
      <c r="DE16" s="66"/>
      <c r="DF16" s="66"/>
      <c r="DG16" s="66"/>
      <c r="DH16" s="66"/>
      <c r="DI16" s="168"/>
      <c r="DJ16" s="67"/>
      <c r="DK16" s="69"/>
      <c r="DL16" s="69"/>
      <c r="DM16" s="69"/>
      <c r="DN16" s="69"/>
      <c r="DO16" s="69"/>
      <c r="DP16" s="69"/>
      <c r="DQ16" s="69"/>
      <c r="DR16" s="69"/>
      <c r="DS16" s="70"/>
      <c r="DT16" s="70"/>
      <c r="DU16" s="70"/>
      <c r="DV16" s="177"/>
      <c r="DW16" s="177"/>
      <c r="DX16" s="70"/>
      <c r="DY16" s="70"/>
      <c r="DZ16" s="71"/>
      <c r="EA16" s="71"/>
      <c r="EB16" s="180"/>
      <c r="EC16" s="180"/>
      <c r="ED16" s="71"/>
      <c r="EE16" s="180"/>
      <c r="EF16" s="66"/>
      <c r="EG16" s="66"/>
      <c r="EH16" s="79"/>
      <c r="EI16" s="66"/>
      <c r="EJ16" s="79"/>
      <c r="EK16" s="66"/>
      <c r="EL16" s="168"/>
      <c r="EM16" s="67"/>
      <c r="EN16" s="78">
        <f t="shared" si="2"/>
        <v>15.342525716787037</v>
      </c>
      <c r="EO16" s="78">
        <f t="shared" si="3"/>
        <v>-29.368029739776969</v>
      </c>
      <c r="EP16" s="78">
        <f t="shared" si="4"/>
        <v>-30.934922089825847</v>
      </c>
      <c r="EQ16" s="78">
        <f t="shared" si="5"/>
        <v>26.946933149552031</v>
      </c>
      <c r="ER16" s="79"/>
      <c r="ES16" s="66"/>
      <c r="ET16" s="66"/>
      <c r="EU16" s="66"/>
      <c r="EV16" s="79"/>
      <c r="EW16" s="66"/>
      <c r="EX16" s="66"/>
      <c r="EY16" s="66"/>
      <c r="EZ16" s="66"/>
      <c r="FA16" s="66"/>
      <c r="FB16" s="66"/>
    </row>
    <row r="17" spans="1:158" hidden="1" x14ac:dyDescent="0.3">
      <c r="A17" s="52">
        <v>44414</v>
      </c>
      <c r="C17" s="69">
        <v>221.8</v>
      </c>
      <c r="D17" s="69">
        <v>37.594999999999999</v>
      </c>
      <c r="E17" s="69">
        <v>15.765000000000001</v>
      </c>
      <c r="F17" s="69">
        <f t="shared" si="0"/>
        <v>184.20500000000001</v>
      </c>
      <c r="K17" s="70">
        <v>43.706500000000005</v>
      </c>
      <c r="N17" s="70">
        <v>0.69350000000000001</v>
      </c>
      <c r="P17" s="70">
        <v>4.7450000000000001</v>
      </c>
      <c r="Q17" s="70">
        <v>23.15</v>
      </c>
      <c r="X17" s="72"/>
      <c r="Y17" s="73"/>
      <c r="Z17" s="73"/>
      <c r="AA17" s="72"/>
      <c r="AB17" s="72"/>
      <c r="AC17" s="72"/>
      <c r="AD17" s="72"/>
      <c r="AE17" s="72"/>
      <c r="AF17" s="72"/>
      <c r="AW17" s="72"/>
      <c r="AX17" s="75"/>
      <c r="AY17" s="75"/>
      <c r="AZ17" s="75"/>
      <c r="BA17" s="75"/>
      <c r="BB17" s="72"/>
      <c r="BC17" s="72"/>
      <c r="BD17" s="72"/>
      <c r="BE17" s="72"/>
      <c r="BH17" s="69">
        <v>209.5</v>
      </c>
      <c r="BI17" s="69">
        <v>62.599999999999994</v>
      </c>
      <c r="BJ17" s="69">
        <v>26.905000000000001</v>
      </c>
      <c r="BK17" s="69">
        <f t="shared" si="1"/>
        <v>146.9</v>
      </c>
      <c r="BP17" s="70">
        <v>47.712500000000006</v>
      </c>
      <c r="BS17" s="70">
        <v>1.3070000000000002</v>
      </c>
      <c r="BU17" s="70">
        <v>1.734</v>
      </c>
      <c r="BV17" s="70">
        <v>1.8690000000000002</v>
      </c>
      <c r="CC17" s="72"/>
      <c r="CD17" s="72"/>
      <c r="CE17" s="72"/>
      <c r="CF17" s="72"/>
      <c r="CG17" s="72"/>
      <c r="CH17" s="72"/>
      <c r="CI17" s="72"/>
      <c r="CJ17" s="72"/>
      <c r="CM17" s="69"/>
      <c r="CN17" s="69"/>
      <c r="CO17" s="69"/>
      <c r="CP17" s="69"/>
      <c r="CQ17" s="76"/>
      <c r="CR17" s="76"/>
      <c r="CS17" s="177"/>
      <c r="CT17" s="70"/>
      <c r="CU17" s="76"/>
      <c r="CV17" s="77"/>
      <c r="CW17" s="77"/>
      <c r="CX17" s="77"/>
      <c r="CY17" s="77"/>
      <c r="CZ17" s="77"/>
      <c r="DA17" s="66"/>
      <c r="DB17" s="66"/>
      <c r="DC17" s="66"/>
      <c r="DD17" s="66"/>
      <c r="DE17" s="66"/>
      <c r="DF17" s="66"/>
      <c r="DG17" s="66"/>
      <c r="DH17" s="66"/>
      <c r="DI17" s="168"/>
      <c r="DJ17" s="67"/>
      <c r="DK17" s="69"/>
      <c r="DL17" s="69"/>
      <c r="DM17" s="69"/>
      <c r="DN17" s="69"/>
      <c r="DO17" s="69"/>
      <c r="DP17" s="69"/>
      <c r="DQ17" s="69"/>
      <c r="DR17" s="69"/>
      <c r="DS17" s="70"/>
      <c r="DT17" s="70"/>
      <c r="DU17" s="70"/>
      <c r="DV17" s="177"/>
      <c r="DW17" s="177"/>
      <c r="DX17" s="70"/>
      <c r="DY17" s="70"/>
      <c r="DZ17" s="71"/>
      <c r="EA17" s="71"/>
      <c r="EB17" s="180"/>
      <c r="EC17" s="180"/>
      <c r="ED17" s="71"/>
      <c r="EE17" s="180"/>
      <c r="EF17" s="66"/>
      <c r="EG17" s="66"/>
      <c r="EH17" s="79"/>
      <c r="EI17" s="66"/>
      <c r="EJ17" s="79"/>
      <c r="EK17" s="66"/>
      <c r="EL17" s="168"/>
      <c r="EM17" s="67"/>
      <c r="EN17" s="78">
        <f t="shared" si="2"/>
        <v>5.5455365193868396</v>
      </c>
      <c r="EO17" s="78">
        <f t="shared" si="3"/>
        <v>-66.511504189386869</v>
      </c>
      <c r="EP17" s="78">
        <f t="shared" si="4"/>
        <v>-70.662860767523</v>
      </c>
      <c r="EQ17" s="78">
        <f t="shared" si="5"/>
        <v>20.251893271083855</v>
      </c>
      <c r="ER17" s="79"/>
      <c r="ES17" s="66"/>
      <c r="ET17" s="66"/>
      <c r="EU17" s="66"/>
      <c r="EV17" s="79"/>
      <c r="EW17" s="66"/>
      <c r="EX17" s="66"/>
      <c r="EY17" s="66"/>
      <c r="EZ17" s="66"/>
      <c r="FA17" s="66"/>
      <c r="FB17" s="66"/>
    </row>
    <row r="18" spans="1:158" hidden="1" x14ac:dyDescent="0.3">
      <c r="A18" s="52">
        <v>44417</v>
      </c>
      <c r="C18" s="69">
        <v>128.25</v>
      </c>
      <c r="D18" s="69">
        <v>45.655000000000001</v>
      </c>
      <c r="E18" s="69">
        <v>17.97</v>
      </c>
      <c r="F18" s="69">
        <f t="shared" si="0"/>
        <v>82.594999999999999</v>
      </c>
      <c r="K18" s="70">
        <v>48.048500000000004</v>
      </c>
      <c r="N18" s="70">
        <v>0.73050000000000004</v>
      </c>
      <c r="P18" s="70">
        <v>6.0714999999999995</v>
      </c>
      <c r="Q18" s="70">
        <v>22.621500000000001</v>
      </c>
      <c r="X18" s="72"/>
      <c r="Y18" s="73"/>
      <c r="Z18" s="73"/>
      <c r="AA18" s="72"/>
      <c r="AB18" s="72"/>
      <c r="AC18" s="72"/>
      <c r="AD18" s="72"/>
      <c r="AE18" s="72"/>
      <c r="AF18" s="72"/>
      <c r="AW18" s="72"/>
      <c r="AX18" s="75"/>
      <c r="AY18" s="75"/>
      <c r="AZ18" s="75"/>
      <c r="BA18" s="75"/>
      <c r="BB18" s="72"/>
      <c r="BC18" s="72"/>
      <c r="BD18" s="72"/>
      <c r="BE18" s="72"/>
      <c r="BH18" s="69">
        <v>212.89999999999998</v>
      </c>
      <c r="BI18" s="69">
        <v>72.849999999999994</v>
      </c>
      <c r="BJ18" s="69">
        <v>33.534999999999997</v>
      </c>
      <c r="BK18" s="69">
        <f t="shared" si="1"/>
        <v>140.04999999999998</v>
      </c>
      <c r="BP18" s="70">
        <v>47.198</v>
      </c>
      <c r="BS18" s="70">
        <v>1.5490000000000002</v>
      </c>
      <c r="BU18" s="70">
        <v>1.4530000000000001</v>
      </c>
      <c r="BV18" s="70">
        <v>0.55449999999999999</v>
      </c>
      <c r="CC18" s="72"/>
      <c r="CD18" s="72"/>
      <c r="CE18" s="72"/>
      <c r="CF18" s="72"/>
      <c r="CG18" s="72"/>
      <c r="CH18" s="72"/>
      <c r="CI18" s="72"/>
      <c r="CJ18" s="72"/>
      <c r="CM18" s="69"/>
      <c r="CN18" s="69"/>
      <c r="CO18" s="69"/>
      <c r="CP18" s="69"/>
      <c r="CQ18" s="76"/>
      <c r="CR18" s="76"/>
      <c r="CS18" s="177"/>
      <c r="CT18" s="70"/>
      <c r="CU18" s="76"/>
      <c r="CV18" s="77"/>
      <c r="CW18" s="77"/>
      <c r="CX18" s="77"/>
      <c r="CY18" s="77"/>
      <c r="CZ18" s="77"/>
      <c r="DA18" s="66"/>
      <c r="DB18" s="66"/>
      <c r="DC18" s="66"/>
      <c r="DD18" s="66"/>
      <c r="DE18" s="66"/>
      <c r="DF18" s="66"/>
      <c r="DG18" s="66"/>
      <c r="DH18" s="66"/>
      <c r="DI18" s="168"/>
      <c r="DJ18" s="67"/>
      <c r="DK18" s="69"/>
      <c r="DL18" s="69"/>
      <c r="DM18" s="69"/>
      <c r="DN18" s="69"/>
      <c r="DO18" s="69"/>
      <c r="DP18" s="69"/>
      <c r="DQ18" s="69"/>
      <c r="DR18" s="69"/>
      <c r="DS18" s="70"/>
      <c r="DT18" s="70"/>
      <c r="DU18" s="70"/>
      <c r="DV18" s="177"/>
      <c r="DW18" s="177"/>
      <c r="DX18" s="70"/>
      <c r="DY18" s="70"/>
      <c r="DZ18" s="71"/>
      <c r="EA18" s="71"/>
      <c r="EB18" s="180"/>
      <c r="EC18" s="180"/>
      <c r="ED18" s="71"/>
      <c r="EE18" s="180"/>
      <c r="EF18" s="66"/>
      <c r="EG18" s="66"/>
      <c r="EH18" s="79"/>
      <c r="EI18" s="66"/>
      <c r="EJ18" s="79"/>
      <c r="EK18" s="66"/>
      <c r="EL18" s="168"/>
      <c r="EM18" s="67"/>
      <c r="EN18" s="78">
        <f t="shared" si="2"/>
        <v>-66.003898635477583</v>
      </c>
      <c r="EO18" s="78">
        <f t="shared" si="3"/>
        <v>-59.566312561603318</v>
      </c>
      <c r="EP18" s="78">
        <f t="shared" si="4"/>
        <v>-86.616583194212566</v>
      </c>
      <c r="EQ18" s="78">
        <f t="shared" si="5"/>
        <v>-69.562322174465734</v>
      </c>
      <c r="ER18" s="79"/>
      <c r="ES18" s="66"/>
      <c r="ET18" s="66"/>
      <c r="EU18" s="66"/>
      <c r="EV18" s="79"/>
      <c r="EW18" s="66"/>
      <c r="EX18" s="66"/>
      <c r="EY18" s="66"/>
      <c r="EZ18" s="66"/>
      <c r="FA18" s="66"/>
      <c r="FB18" s="66"/>
    </row>
    <row r="19" spans="1:158" hidden="1" x14ac:dyDescent="0.3">
      <c r="A19" s="52">
        <v>44418</v>
      </c>
      <c r="C19" s="69">
        <v>216.4</v>
      </c>
      <c r="D19" s="69">
        <v>62.95</v>
      </c>
      <c r="E19" s="69">
        <v>31.344999999999999</v>
      </c>
      <c r="F19" s="69">
        <f t="shared" si="0"/>
        <v>153.44999999999999</v>
      </c>
      <c r="K19" s="70">
        <v>53.3735</v>
      </c>
      <c r="N19" s="70">
        <v>1.2175</v>
      </c>
      <c r="P19" s="70">
        <v>8.870000000000001</v>
      </c>
      <c r="Q19" s="70">
        <v>24.581499999999998</v>
      </c>
      <c r="X19" s="72"/>
      <c r="Y19" s="73"/>
      <c r="Z19" s="73"/>
      <c r="AA19" s="72"/>
      <c r="AB19" s="72"/>
      <c r="AC19" s="72"/>
      <c r="AD19" s="72"/>
      <c r="AE19" s="72"/>
      <c r="AF19" s="72"/>
      <c r="AW19" s="72"/>
      <c r="AX19" s="75"/>
      <c r="AY19" s="75"/>
      <c r="AZ19" s="75"/>
      <c r="BA19" s="75"/>
      <c r="BB19" s="72"/>
      <c r="BC19" s="72"/>
      <c r="BD19" s="72"/>
      <c r="BE19" s="72"/>
      <c r="BH19" s="69">
        <v>217.45000000000002</v>
      </c>
      <c r="BI19" s="69">
        <v>79.900000000000006</v>
      </c>
      <c r="BJ19" s="69">
        <v>28.060000000000002</v>
      </c>
      <c r="BK19" s="69">
        <f t="shared" si="1"/>
        <v>137.55000000000001</v>
      </c>
      <c r="BP19" s="70">
        <v>46.914000000000001</v>
      </c>
      <c r="BS19" s="70">
        <v>1.5325</v>
      </c>
      <c r="BU19" s="70">
        <v>2.782</v>
      </c>
      <c r="BV19" s="70">
        <v>0.88900000000000001</v>
      </c>
      <c r="CC19" s="72"/>
      <c r="CD19" s="72"/>
      <c r="CE19" s="72"/>
      <c r="CF19" s="72"/>
      <c r="CG19" s="72"/>
      <c r="CH19" s="72"/>
      <c r="CI19" s="72"/>
      <c r="CJ19" s="72"/>
      <c r="CM19" s="69"/>
      <c r="CN19" s="69"/>
      <c r="CO19" s="69"/>
      <c r="CP19" s="69"/>
      <c r="CQ19" s="76"/>
      <c r="CR19" s="76"/>
      <c r="CS19" s="177"/>
      <c r="CT19" s="70"/>
      <c r="CU19" s="76"/>
      <c r="CV19" s="77"/>
      <c r="CW19" s="77"/>
      <c r="CX19" s="77"/>
      <c r="CY19" s="77"/>
      <c r="CZ19" s="77"/>
      <c r="DA19" s="66"/>
      <c r="DB19" s="66"/>
      <c r="DC19" s="66"/>
      <c r="DD19" s="66"/>
      <c r="DE19" s="66"/>
      <c r="DF19" s="66"/>
      <c r="DG19" s="66"/>
      <c r="DH19" s="66"/>
      <c r="DI19" s="168"/>
      <c r="DJ19" s="67"/>
      <c r="DK19" s="69"/>
      <c r="DL19" s="69"/>
      <c r="DM19" s="69"/>
      <c r="DN19" s="69"/>
      <c r="DO19" s="69"/>
      <c r="DP19" s="69"/>
      <c r="DQ19" s="69"/>
      <c r="DR19" s="69"/>
      <c r="DS19" s="70"/>
      <c r="DT19" s="70"/>
      <c r="DU19" s="70"/>
      <c r="DV19" s="177"/>
      <c r="DW19" s="177"/>
      <c r="DX19" s="70"/>
      <c r="DY19" s="70"/>
      <c r="DZ19" s="71"/>
      <c r="EA19" s="71"/>
      <c r="EB19" s="180"/>
      <c r="EC19" s="180"/>
      <c r="ED19" s="71"/>
      <c r="EE19" s="180"/>
      <c r="EF19" s="66"/>
      <c r="EG19" s="66"/>
      <c r="EH19" s="79"/>
      <c r="EI19" s="66"/>
      <c r="EJ19" s="79"/>
      <c r="EK19" s="66"/>
      <c r="EL19" s="168"/>
      <c r="EM19" s="67"/>
      <c r="EN19" s="78">
        <f t="shared" si="2"/>
        <v>-0.4852125693160847</v>
      </c>
      <c r="EO19" s="78">
        <f t="shared" si="3"/>
        <v>-26.926131850675141</v>
      </c>
      <c r="EP19" s="78">
        <f t="shared" si="4"/>
        <v>10.480140373265268</v>
      </c>
      <c r="EQ19" s="78">
        <f t="shared" si="5"/>
        <v>10.361681329423256</v>
      </c>
      <c r="ER19" s="79"/>
      <c r="ES19" s="66"/>
      <c r="ET19" s="66"/>
      <c r="EU19" s="66"/>
      <c r="EV19" s="79"/>
      <c r="EW19" s="66"/>
      <c r="EX19" s="66"/>
      <c r="EY19" s="66"/>
      <c r="EZ19" s="66"/>
      <c r="FA19" s="66"/>
      <c r="FB19" s="66"/>
    </row>
    <row r="20" spans="1:158" hidden="1" x14ac:dyDescent="0.3">
      <c r="A20" s="52">
        <v>44419</v>
      </c>
      <c r="C20" s="69">
        <v>135.6</v>
      </c>
      <c r="D20" s="69">
        <v>58</v>
      </c>
      <c r="E20" s="69">
        <v>21.34</v>
      </c>
      <c r="F20" s="69">
        <f t="shared" si="0"/>
        <v>77.599999999999994</v>
      </c>
      <c r="K20" s="70">
        <v>44.177</v>
      </c>
      <c r="P20" s="70">
        <v>7.1105</v>
      </c>
      <c r="Q20" s="70">
        <v>23.001000000000001</v>
      </c>
      <c r="X20" s="72"/>
      <c r="Y20" s="73"/>
      <c r="Z20" s="73"/>
      <c r="AA20" s="72"/>
      <c r="AB20" s="72"/>
      <c r="AC20" s="72"/>
      <c r="AD20" s="72"/>
      <c r="AE20" s="72"/>
      <c r="AF20" s="72"/>
      <c r="AH20" s="74">
        <v>6.99</v>
      </c>
      <c r="AW20" s="72"/>
      <c r="AX20" s="75"/>
      <c r="AY20" s="75"/>
      <c r="AZ20" s="75"/>
      <c r="BA20" s="75"/>
      <c r="BB20" s="72"/>
      <c r="BC20" s="72"/>
      <c r="BD20" s="72"/>
      <c r="BE20" s="72"/>
      <c r="BH20" s="69">
        <v>196.85</v>
      </c>
      <c r="BI20" s="69">
        <v>69.650000000000006</v>
      </c>
      <c r="BJ20" s="69">
        <v>27.985000000000003</v>
      </c>
      <c r="BK20" s="69">
        <f t="shared" si="1"/>
        <v>127.19999999999999</v>
      </c>
      <c r="BP20" s="70">
        <v>48.314999999999998</v>
      </c>
      <c r="BS20" s="70">
        <v>4.4999999999999998E-2</v>
      </c>
      <c r="BU20" s="70">
        <v>8.4375</v>
      </c>
      <c r="BV20" s="70">
        <v>1.875</v>
      </c>
      <c r="CC20" s="72"/>
      <c r="CD20" s="72"/>
      <c r="CE20" s="72"/>
      <c r="CF20" s="72"/>
      <c r="CG20" s="72"/>
      <c r="CH20" s="72"/>
      <c r="CI20" s="72"/>
      <c r="CJ20" s="72"/>
      <c r="CL20" s="74">
        <v>6.67</v>
      </c>
      <c r="CM20" s="69"/>
      <c r="CN20" s="69"/>
      <c r="CO20" s="69"/>
      <c r="CP20" s="69"/>
      <c r="CQ20" s="76"/>
      <c r="CR20" s="76"/>
      <c r="CS20" s="177"/>
      <c r="CT20" s="70"/>
      <c r="CU20" s="76"/>
      <c r="CV20" s="77"/>
      <c r="CW20" s="77"/>
      <c r="CX20" s="77"/>
      <c r="CY20" s="77"/>
      <c r="CZ20" s="77"/>
      <c r="DA20" s="66"/>
      <c r="DB20" s="66"/>
      <c r="DC20" s="66"/>
      <c r="DD20" s="66"/>
      <c r="DE20" s="66"/>
      <c r="DF20" s="66"/>
      <c r="DG20" s="66"/>
      <c r="DH20" s="66"/>
      <c r="DI20" s="168"/>
      <c r="DJ20" s="67"/>
      <c r="DK20" s="69"/>
      <c r="DL20" s="69"/>
      <c r="DM20" s="69"/>
      <c r="DN20" s="69"/>
      <c r="DO20" s="69"/>
      <c r="DP20" s="69"/>
      <c r="DQ20" s="69"/>
      <c r="DR20" s="69"/>
      <c r="DS20" s="70"/>
      <c r="DT20" s="70"/>
      <c r="DU20" s="70"/>
      <c r="DV20" s="177"/>
      <c r="DW20" s="177"/>
      <c r="DX20" s="70"/>
      <c r="DY20" s="70"/>
      <c r="DZ20" s="71"/>
      <c r="EA20" s="71"/>
      <c r="EB20" s="180"/>
      <c r="EC20" s="180"/>
      <c r="ED20" s="71"/>
      <c r="EE20" s="180"/>
      <c r="EF20" s="66"/>
      <c r="EG20" s="66"/>
      <c r="EH20" s="79"/>
      <c r="EI20" s="66"/>
      <c r="EJ20" s="79"/>
      <c r="EK20" s="66"/>
      <c r="EL20" s="168"/>
      <c r="EM20" s="67"/>
      <c r="EN20" s="78">
        <f t="shared" si="2"/>
        <v>-45.169616519174042</v>
      </c>
      <c r="EO20" s="78">
        <f t="shared" si="3"/>
        <v>-20.08620689655174</v>
      </c>
      <c r="EP20" s="78">
        <f t="shared" si="4"/>
        <v>-31.138706654170576</v>
      </c>
      <c r="EQ20" s="78">
        <f t="shared" si="5"/>
        <v>-63.917525773195869</v>
      </c>
      <c r="ER20" s="79"/>
      <c r="ES20" s="66"/>
      <c r="ET20" s="66"/>
      <c r="EU20" s="66"/>
      <c r="EV20" s="79"/>
      <c r="EW20" s="66"/>
      <c r="EX20" s="66"/>
      <c r="EY20" s="66"/>
      <c r="EZ20" s="66"/>
      <c r="FA20" s="66"/>
      <c r="FB20" s="66"/>
    </row>
    <row r="21" spans="1:158" hidden="1" x14ac:dyDescent="0.3">
      <c r="A21" s="52">
        <v>44420</v>
      </c>
      <c r="C21" s="69">
        <v>231.1</v>
      </c>
      <c r="D21" s="69">
        <v>54.45</v>
      </c>
      <c r="E21" s="69">
        <v>22.29</v>
      </c>
      <c r="F21" s="69">
        <f t="shared" si="0"/>
        <v>176.64999999999998</v>
      </c>
      <c r="K21" s="70">
        <v>49.132499999999993</v>
      </c>
      <c r="P21" s="70">
        <v>1.2749999999999999</v>
      </c>
      <c r="Q21" s="70">
        <v>22.8415</v>
      </c>
      <c r="X21" s="72"/>
      <c r="Y21" s="73"/>
      <c r="Z21" s="73"/>
      <c r="AA21" s="72"/>
      <c r="AB21" s="72"/>
      <c r="AC21" s="72"/>
      <c r="AD21" s="72"/>
      <c r="AE21" s="72"/>
      <c r="AF21" s="72"/>
      <c r="AH21" s="74">
        <v>6.77</v>
      </c>
      <c r="AW21" s="72"/>
      <c r="AX21" s="75"/>
      <c r="AY21" s="75"/>
      <c r="AZ21" s="75"/>
      <c r="BA21" s="75"/>
      <c r="BB21" s="72"/>
      <c r="BC21" s="72"/>
      <c r="BD21" s="72"/>
      <c r="BE21" s="72"/>
      <c r="BH21" s="69">
        <v>197.8</v>
      </c>
      <c r="BI21" s="69">
        <v>52.800000000000004</v>
      </c>
      <c r="BJ21" s="69">
        <v>26.035</v>
      </c>
      <c r="BK21" s="69">
        <f t="shared" si="1"/>
        <v>145</v>
      </c>
      <c r="BP21" s="70">
        <v>48.537499999999994</v>
      </c>
      <c r="BU21" s="70">
        <v>9.1304999999999996</v>
      </c>
      <c r="BV21" s="70">
        <v>1.1135000000000002</v>
      </c>
      <c r="CC21" s="72"/>
      <c r="CD21" s="72"/>
      <c r="CE21" s="72"/>
      <c r="CF21" s="72"/>
      <c r="CG21" s="72"/>
      <c r="CH21" s="72"/>
      <c r="CI21" s="72"/>
      <c r="CJ21" s="72"/>
      <c r="CL21" s="74">
        <v>6.51</v>
      </c>
      <c r="CM21" s="69"/>
      <c r="CN21" s="69"/>
      <c r="CO21" s="69"/>
      <c r="CP21" s="69"/>
      <c r="CQ21" s="76"/>
      <c r="CR21" s="76"/>
      <c r="CS21" s="177"/>
      <c r="CT21" s="70"/>
      <c r="CU21" s="76"/>
      <c r="CV21" s="77"/>
      <c r="CW21" s="77"/>
      <c r="CX21" s="77"/>
      <c r="CY21" s="77"/>
      <c r="CZ21" s="77"/>
      <c r="DA21" s="66"/>
      <c r="DB21" s="66"/>
      <c r="DC21" s="66"/>
      <c r="DD21" s="66"/>
      <c r="DE21" s="66"/>
      <c r="DF21" s="66"/>
      <c r="DG21" s="66"/>
      <c r="DH21" s="66"/>
      <c r="DI21" s="168"/>
      <c r="DJ21" s="67"/>
      <c r="DK21" s="69"/>
      <c r="DL21" s="69"/>
      <c r="DM21" s="69"/>
      <c r="DN21" s="69"/>
      <c r="DO21" s="69"/>
      <c r="DP21" s="69"/>
      <c r="DQ21" s="69"/>
      <c r="DR21" s="69"/>
      <c r="DS21" s="70"/>
      <c r="DT21" s="70"/>
      <c r="DU21" s="70"/>
      <c r="DV21" s="177"/>
      <c r="DW21" s="177"/>
      <c r="DX21" s="70"/>
      <c r="DY21" s="70"/>
      <c r="DZ21" s="71"/>
      <c r="EA21" s="71"/>
      <c r="EB21" s="180"/>
      <c r="EC21" s="180"/>
      <c r="ED21" s="71"/>
      <c r="EE21" s="180"/>
      <c r="EF21" s="66"/>
      <c r="EG21" s="66"/>
      <c r="EH21" s="79"/>
      <c r="EI21" s="66"/>
      <c r="EJ21" s="79"/>
      <c r="EK21" s="66"/>
      <c r="EL21" s="168"/>
      <c r="EM21" s="67"/>
      <c r="EN21" s="78">
        <f t="shared" si="2"/>
        <v>14.409346603202067</v>
      </c>
      <c r="EO21" s="78">
        <f t="shared" si="3"/>
        <v>3.0303030303030276</v>
      </c>
      <c r="EP21" s="78">
        <f t="shared" si="4"/>
        <v>-16.801256168685509</v>
      </c>
      <c r="EQ21" s="78">
        <f t="shared" si="5"/>
        <v>17.916784602320966</v>
      </c>
      <c r="ER21" s="79"/>
      <c r="ES21" s="66"/>
      <c r="ET21" s="66"/>
      <c r="EU21" s="66"/>
      <c r="EV21" s="79"/>
      <c r="EW21" s="66"/>
      <c r="EX21" s="66"/>
      <c r="EY21" s="66"/>
      <c r="EZ21" s="66"/>
      <c r="FA21" s="66"/>
      <c r="FB21" s="66"/>
    </row>
    <row r="22" spans="1:158" hidden="1" x14ac:dyDescent="0.3">
      <c r="A22" s="52">
        <v>44425</v>
      </c>
      <c r="C22" s="69">
        <v>168.25</v>
      </c>
      <c r="D22" s="69">
        <v>60.55</v>
      </c>
      <c r="E22" s="69">
        <v>34.005000000000003</v>
      </c>
      <c r="F22" s="69">
        <f t="shared" si="0"/>
        <v>107.7</v>
      </c>
      <c r="K22" s="70">
        <v>64.081999999999994</v>
      </c>
      <c r="N22" s="70">
        <v>1.4580000000000002</v>
      </c>
      <c r="P22" s="70">
        <v>9.6739999999999995</v>
      </c>
      <c r="Q22" s="70">
        <v>24.494500000000002</v>
      </c>
      <c r="X22" s="72"/>
      <c r="Y22" s="73"/>
      <c r="Z22" s="73"/>
      <c r="AA22" s="72"/>
      <c r="AB22" s="72"/>
      <c r="AC22" s="72"/>
      <c r="AD22" s="72"/>
      <c r="AE22" s="72"/>
      <c r="AF22" s="72"/>
      <c r="AH22" s="74">
        <v>7.49</v>
      </c>
      <c r="AW22" s="72"/>
      <c r="AX22" s="75"/>
      <c r="AY22" s="75"/>
      <c r="AZ22" s="75"/>
      <c r="BA22" s="75"/>
      <c r="BB22" s="72"/>
      <c r="BC22" s="72"/>
      <c r="BD22" s="72"/>
      <c r="BE22" s="72"/>
      <c r="CC22" s="72"/>
      <c r="CD22" s="72"/>
      <c r="CE22" s="72"/>
      <c r="CF22" s="72"/>
      <c r="CG22" s="72"/>
      <c r="CH22" s="72"/>
      <c r="CI22" s="72"/>
      <c r="CJ22" s="72"/>
      <c r="CM22" s="69"/>
      <c r="CN22" s="69"/>
      <c r="CO22" s="69"/>
      <c r="CP22" s="69"/>
      <c r="CQ22" s="76"/>
      <c r="CR22" s="76"/>
      <c r="CS22" s="177"/>
      <c r="CT22" s="70"/>
      <c r="CU22" s="76"/>
      <c r="CV22" s="77"/>
      <c r="CW22" s="77"/>
      <c r="CX22" s="77"/>
      <c r="CY22" s="77"/>
      <c r="CZ22" s="77"/>
      <c r="DA22" s="66"/>
      <c r="DB22" s="66"/>
      <c r="DC22" s="66"/>
      <c r="DD22" s="66"/>
      <c r="DE22" s="66"/>
      <c r="DF22" s="66"/>
      <c r="DG22" s="66"/>
      <c r="DH22" s="66"/>
      <c r="DI22" s="168"/>
      <c r="DJ22" s="67"/>
      <c r="DK22" s="69"/>
      <c r="DL22" s="69"/>
      <c r="DM22" s="69"/>
      <c r="DN22" s="69"/>
      <c r="DO22" s="69"/>
      <c r="DP22" s="69"/>
      <c r="DQ22" s="69"/>
      <c r="DR22" s="69"/>
      <c r="DS22" s="70"/>
      <c r="DT22" s="70"/>
      <c r="DU22" s="70"/>
      <c r="DV22" s="177"/>
      <c r="DW22" s="177"/>
      <c r="DX22" s="70"/>
      <c r="DY22" s="70"/>
      <c r="DZ22" s="71"/>
      <c r="EA22" s="71"/>
      <c r="EB22" s="180"/>
      <c r="EC22" s="180"/>
      <c r="ED22" s="71"/>
      <c r="EE22" s="180"/>
      <c r="EF22" s="66"/>
      <c r="EG22" s="66"/>
      <c r="EH22" s="79"/>
      <c r="EI22" s="66"/>
      <c r="EJ22" s="79"/>
      <c r="EK22" s="66"/>
      <c r="EL22" s="168"/>
      <c r="EM22" s="67"/>
      <c r="EN22" s="78"/>
      <c r="EO22" s="78"/>
      <c r="EP22" s="78"/>
      <c r="EQ22" s="78"/>
      <c r="ER22" s="79"/>
      <c r="ES22" s="66"/>
      <c r="ET22" s="66"/>
      <c r="EU22" s="66"/>
      <c r="EV22" s="79"/>
      <c r="EW22" s="66"/>
      <c r="EX22" s="66"/>
      <c r="EY22" s="66"/>
      <c r="EZ22" s="66"/>
      <c r="FA22" s="66"/>
      <c r="FB22" s="66"/>
    </row>
    <row r="23" spans="1:158" hidden="1" x14ac:dyDescent="0.3">
      <c r="A23" s="52">
        <v>44426</v>
      </c>
      <c r="C23" s="69">
        <v>155.44999999999999</v>
      </c>
      <c r="D23" s="69">
        <v>48.864999999999995</v>
      </c>
      <c r="E23" s="69">
        <v>22.214999999999996</v>
      </c>
      <c r="F23" s="69">
        <f t="shared" si="0"/>
        <v>106.58499999999999</v>
      </c>
      <c r="K23" s="70">
        <v>64.408000000000001</v>
      </c>
      <c r="N23" s="70">
        <v>1.2349999999999999</v>
      </c>
      <c r="P23" s="70">
        <v>4.3659999999999997</v>
      </c>
      <c r="Q23" s="70">
        <v>24.836500000000001</v>
      </c>
      <c r="X23" s="72"/>
      <c r="Y23" s="73"/>
      <c r="Z23" s="73"/>
      <c r="AA23" s="72"/>
      <c r="AB23" s="72"/>
      <c r="AC23" s="72"/>
      <c r="AD23" s="72"/>
      <c r="AE23" s="72"/>
      <c r="AF23" s="72"/>
      <c r="AH23" s="74">
        <v>7.54</v>
      </c>
      <c r="AW23" s="72"/>
      <c r="AX23" s="75"/>
      <c r="AY23" s="75"/>
      <c r="AZ23" s="75"/>
      <c r="BA23" s="75"/>
      <c r="BB23" s="72"/>
      <c r="BC23" s="72"/>
      <c r="BD23" s="72"/>
      <c r="BE23" s="72"/>
      <c r="BG23" s="74">
        <v>7.2</v>
      </c>
      <c r="BH23" s="69">
        <v>812.5</v>
      </c>
      <c r="BI23" s="69">
        <v>143.85</v>
      </c>
      <c r="BJ23" s="69">
        <v>114.45</v>
      </c>
      <c r="BK23" s="69">
        <f>BH23-BI23</f>
        <v>668.65</v>
      </c>
      <c r="BP23" s="70">
        <v>66.718000000000004</v>
      </c>
      <c r="BS23" s="70">
        <v>5.9140000000000006</v>
      </c>
      <c r="BV23" s="70">
        <v>2.5950000000000002</v>
      </c>
      <c r="CC23" s="72"/>
      <c r="CD23" s="72"/>
      <c r="CE23" s="72"/>
      <c r="CF23" s="72"/>
      <c r="CG23" s="72"/>
      <c r="CH23" s="72"/>
      <c r="CI23" s="72"/>
      <c r="CJ23" s="72"/>
      <c r="CL23" s="74">
        <v>7.07</v>
      </c>
      <c r="CM23" s="69"/>
      <c r="CN23" s="69"/>
      <c r="CO23" s="69"/>
      <c r="CP23" s="69"/>
      <c r="CQ23" s="76"/>
      <c r="CR23" s="76"/>
      <c r="CS23" s="177"/>
      <c r="CT23" s="70"/>
      <c r="CU23" s="76"/>
      <c r="CV23" s="77"/>
      <c r="CW23" s="77"/>
      <c r="CX23" s="77"/>
      <c r="CY23" s="77"/>
      <c r="CZ23" s="77"/>
      <c r="DA23" s="66"/>
      <c r="DB23" s="66"/>
      <c r="DC23" s="66"/>
      <c r="DD23" s="66"/>
      <c r="DE23" s="66"/>
      <c r="DF23" s="66"/>
      <c r="DG23" s="66"/>
      <c r="DH23" s="66"/>
      <c r="DI23" s="168"/>
      <c r="DJ23" s="67"/>
      <c r="DK23" s="69"/>
      <c r="DL23" s="69"/>
      <c r="DM23" s="69"/>
      <c r="DN23" s="69"/>
      <c r="DO23" s="69"/>
      <c r="DP23" s="69"/>
      <c r="DQ23" s="69"/>
      <c r="DR23" s="69"/>
      <c r="DS23" s="70"/>
      <c r="DT23" s="70"/>
      <c r="DU23" s="70"/>
      <c r="DV23" s="177"/>
      <c r="DW23" s="177"/>
      <c r="DX23" s="70"/>
      <c r="DY23" s="70"/>
      <c r="DZ23" s="71"/>
      <c r="EA23" s="71"/>
      <c r="EB23" s="180"/>
      <c r="EC23" s="180"/>
      <c r="ED23" s="71"/>
      <c r="EE23" s="180"/>
      <c r="EF23" s="66"/>
      <c r="EG23" s="66"/>
      <c r="EH23" s="79"/>
      <c r="EI23" s="66"/>
      <c r="EJ23" s="79"/>
      <c r="EK23" s="66"/>
      <c r="EL23" s="168"/>
      <c r="EM23" s="67"/>
      <c r="EN23" s="78">
        <f t="shared" ref="EN23:EQ24" si="6">(1-BH23/C23)*100</f>
        <v>-422.67610164039888</v>
      </c>
      <c r="EO23" s="78">
        <f t="shared" si="6"/>
        <v>-194.38248234932982</v>
      </c>
      <c r="EP23" s="78">
        <f t="shared" si="6"/>
        <v>-415.19243754220128</v>
      </c>
      <c r="EQ23" s="78">
        <f t="shared" si="6"/>
        <v>-527.33968194398835</v>
      </c>
      <c r="ER23" s="79"/>
      <c r="ES23" s="66"/>
      <c r="ET23" s="66"/>
      <c r="EU23" s="66"/>
      <c r="EV23" s="79"/>
      <c r="EW23" s="66"/>
      <c r="EX23" s="66"/>
      <c r="EY23" s="66"/>
      <c r="EZ23" s="66"/>
      <c r="FA23" s="66"/>
      <c r="FB23" s="66"/>
    </row>
    <row r="24" spans="1:158" hidden="1" x14ac:dyDescent="0.3">
      <c r="A24" s="52">
        <v>44428</v>
      </c>
      <c r="C24" s="69">
        <v>176.35000000000002</v>
      </c>
      <c r="D24" s="69">
        <v>46.63</v>
      </c>
      <c r="E24" s="69">
        <v>19.404999999999998</v>
      </c>
      <c r="F24" s="69">
        <f t="shared" si="0"/>
        <v>129.72000000000003</v>
      </c>
      <c r="K24" s="70">
        <v>44.144500000000008</v>
      </c>
      <c r="N24" s="70">
        <v>0.98550000000000004</v>
      </c>
      <c r="P24" s="70">
        <v>7.2230000000000008</v>
      </c>
      <c r="Q24" s="70">
        <v>29.054000000000002</v>
      </c>
      <c r="X24" s="72"/>
      <c r="Y24" s="73"/>
      <c r="Z24" s="73"/>
      <c r="AA24" s="72"/>
      <c r="AB24" s="72"/>
      <c r="AC24" s="72"/>
      <c r="AD24" s="72"/>
      <c r="AE24" s="72"/>
      <c r="AF24" s="72"/>
      <c r="AW24" s="72"/>
      <c r="AX24" s="75"/>
      <c r="AY24" s="75"/>
      <c r="AZ24" s="75"/>
      <c r="BA24" s="75"/>
      <c r="BB24" s="72"/>
      <c r="BC24" s="72"/>
      <c r="BD24" s="72"/>
      <c r="BE24" s="72"/>
      <c r="BH24" s="69">
        <v>702</v>
      </c>
      <c r="BI24" s="69">
        <v>161.14999999999998</v>
      </c>
      <c r="BJ24" s="69">
        <v>97.449999999999989</v>
      </c>
      <c r="BK24" s="69">
        <f>BH24-BI24</f>
        <v>540.85</v>
      </c>
      <c r="BP24" s="70">
        <v>64.525499999999994</v>
      </c>
      <c r="BS24" s="70">
        <v>6.2294999999999998</v>
      </c>
      <c r="BV24" s="70">
        <v>1.514</v>
      </c>
      <c r="CC24" s="72"/>
      <c r="CD24" s="72"/>
      <c r="CE24" s="72"/>
      <c r="CF24" s="72"/>
      <c r="CG24" s="72"/>
      <c r="CH24" s="72"/>
      <c r="CI24" s="72"/>
      <c r="CJ24" s="72"/>
      <c r="CM24" s="69"/>
      <c r="CN24" s="69"/>
      <c r="CO24" s="69"/>
      <c r="CP24" s="69"/>
      <c r="CQ24" s="76"/>
      <c r="CR24" s="76"/>
      <c r="CS24" s="177"/>
      <c r="CT24" s="70"/>
      <c r="CU24" s="76"/>
      <c r="CV24" s="77"/>
      <c r="CW24" s="77"/>
      <c r="CX24" s="77"/>
      <c r="CY24" s="77"/>
      <c r="CZ24" s="77"/>
      <c r="DA24" s="66"/>
      <c r="DB24" s="66"/>
      <c r="DC24" s="66"/>
      <c r="DD24" s="66"/>
      <c r="DE24" s="66"/>
      <c r="DF24" s="66"/>
      <c r="DG24" s="66"/>
      <c r="DH24" s="66"/>
      <c r="DI24" s="168"/>
      <c r="DJ24" s="67"/>
      <c r="DK24" s="69"/>
      <c r="DL24" s="69"/>
      <c r="DM24" s="69"/>
      <c r="DN24" s="69"/>
      <c r="DO24" s="69"/>
      <c r="DP24" s="69"/>
      <c r="DQ24" s="69"/>
      <c r="DR24" s="69"/>
      <c r="DS24" s="70"/>
      <c r="DT24" s="70"/>
      <c r="DU24" s="70"/>
      <c r="DV24" s="177"/>
      <c r="DW24" s="177"/>
      <c r="DX24" s="70"/>
      <c r="DY24" s="70"/>
      <c r="DZ24" s="71"/>
      <c r="EA24" s="71"/>
      <c r="EB24" s="180"/>
      <c r="EC24" s="180"/>
      <c r="ED24" s="71"/>
      <c r="EE24" s="180"/>
      <c r="EF24" s="66"/>
      <c r="EG24" s="66"/>
      <c r="EH24" s="79"/>
      <c r="EI24" s="66"/>
      <c r="EJ24" s="79"/>
      <c r="EK24" s="66"/>
      <c r="EL24" s="168"/>
      <c r="EM24" s="67"/>
      <c r="EN24" s="78">
        <f t="shared" si="6"/>
        <v>-298.07201587751626</v>
      </c>
      <c r="EO24" s="78">
        <f t="shared" si="6"/>
        <v>-245.59296590177988</v>
      </c>
      <c r="EP24" s="78">
        <f t="shared" si="6"/>
        <v>-402.19015717598563</v>
      </c>
      <c r="EQ24" s="78">
        <f t="shared" si="6"/>
        <v>-316.93647856922598</v>
      </c>
      <c r="ER24" s="79"/>
      <c r="ES24" s="66"/>
      <c r="ET24" s="66"/>
      <c r="EU24" s="66"/>
      <c r="EV24" s="79"/>
      <c r="EW24" s="66"/>
      <c r="EX24" s="66"/>
      <c r="EY24" s="66"/>
      <c r="EZ24" s="66"/>
      <c r="FA24" s="66"/>
      <c r="FB24" s="66"/>
    </row>
    <row r="25" spans="1:158" hidden="1" x14ac:dyDescent="0.3">
      <c r="A25" s="52">
        <v>44432</v>
      </c>
      <c r="X25" s="72"/>
      <c r="Y25" s="73"/>
      <c r="Z25" s="73"/>
      <c r="AA25" s="72"/>
      <c r="AB25" s="72"/>
      <c r="AC25" s="72"/>
      <c r="AD25" s="72"/>
      <c r="AE25" s="72"/>
      <c r="AF25" s="72"/>
      <c r="AW25" s="72"/>
      <c r="AX25" s="75"/>
      <c r="AY25" s="75"/>
      <c r="AZ25" s="75"/>
      <c r="BA25" s="75"/>
      <c r="BB25" s="72"/>
      <c r="BC25" s="72"/>
      <c r="BD25" s="72"/>
      <c r="BE25" s="72"/>
      <c r="BH25" s="69">
        <v>628.5</v>
      </c>
      <c r="BI25" s="69">
        <v>209.35</v>
      </c>
      <c r="BJ25" s="69">
        <v>102.75</v>
      </c>
      <c r="BK25" s="69">
        <f>BH25-BI25</f>
        <v>419.15</v>
      </c>
      <c r="BP25" s="70">
        <v>62.548000000000002</v>
      </c>
      <c r="BS25" s="70">
        <v>8.323500000000001</v>
      </c>
      <c r="BV25" s="70">
        <v>2.5750000000000002</v>
      </c>
      <c r="CC25" s="72"/>
      <c r="CD25" s="72"/>
      <c r="CE25" s="72"/>
      <c r="CF25" s="72"/>
      <c r="CG25" s="72"/>
      <c r="CH25" s="72"/>
      <c r="CI25" s="72"/>
      <c r="CJ25" s="72"/>
      <c r="CM25" s="69"/>
      <c r="CN25" s="69"/>
      <c r="CO25" s="69"/>
      <c r="CP25" s="69"/>
      <c r="CQ25" s="76"/>
      <c r="CR25" s="76"/>
      <c r="CS25" s="177"/>
      <c r="CT25" s="70"/>
      <c r="CU25" s="76"/>
      <c r="CV25" s="77"/>
      <c r="CW25" s="77"/>
      <c r="CX25" s="77"/>
      <c r="CY25" s="77"/>
      <c r="CZ25" s="77"/>
      <c r="DA25" s="66"/>
      <c r="DB25" s="66"/>
      <c r="DC25" s="66"/>
      <c r="DD25" s="66"/>
      <c r="DE25" s="66"/>
      <c r="DF25" s="66"/>
      <c r="DG25" s="66"/>
      <c r="DH25" s="66"/>
      <c r="DI25" s="168"/>
      <c r="DJ25" s="67"/>
      <c r="DK25" s="69"/>
      <c r="DL25" s="69"/>
      <c r="DM25" s="69"/>
      <c r="DN25" s="69"/>
      <c r="DO25" s="69"/>
      <c r="DP25" s="69"/>
      <c r="DQ25" s="69"/>
      <c r="DR25" s="69"/>
      <c r="DS25" s="70"/>
      <c r="DT25" s="70"/>
      <c r="DU25" s="70"/>
      <c r="DV25" s="177"/>
      <c r="DW25" s="177"/>
      <c r="DX25" s="70"/>
      <c r="DY25" s="70"/>
      <c r="DZ25" s="71"/>
      <c r="EA25" s="71"/>
      <c r="EB25" s="180"/>
      <c r="EC25" s="180"/>
      <c r="ED25" s="71"/>
      <c r="EE25" s="180"/>
      <c r="EF25" s="66"/>
      <c r="EG25" s="66"/>
      <c r="EH25" s="79"/>
      <c r="EI25" s="66"/>
      <c r="EJ25" s="79"/>
      <c r="EK25" s="66"/>
      <c r="EL25" s="168"/>
      <c r="EM25" s="67"/>
      <c r="EN25" s="78"/>
      <c r="EO25" s="78"/>
      <c r="EP25" s="78"/>
      <c r="EQ25" s="78"/>
      <c r="ER25" s="79"/>
      <c r="ES25" s="66"/>
      <c r="ET25" s="66"/>
      <c r="EU25" s="66"/>
      <c r="EV25" s="79"/>
      <c r="EW25" s="66"/>
      <c r="EX25" s="66"/>
      <c r="EY25" s="66"/>
      <c r="EZ25" s="66"/>
      <c r="FA25" s="66"/>
      <c r="FB25" s="66"/>
    </row>
    <row r="26" spans="1:158" hidden="1" x14ac:dyDescent="0.3">
      <c r="A26" s="52">
        <v>44433</v>
      </c>
      <c r="X26" s="72"/>
      <c r="Y26" s="73"/>
      <c r="Z26" s="73"/>
      <c r="AA26" s="72"/>
      <c r="AB26" s="72"/>
      <c r="AC26" s="72"/>
      <c r="AD26" s="72"/>
      <c r="AE26" s="72"/>
      <c r="AF26" s="72"/>
      <c r="AW26" s="72"/>
      <c r="AX26" s="75"/>
      <c r="AY26" s="75"/>
      <c r="AZ26" s="75"/>
      <c r="BA26" s="75"/>
      <c r="BB26" s="72"/>
      <c r="BC26" s="72"/>
      <c r="BD26" s="72"/>
      <c r="BE26" s="72"/>
      <c r="BH26" s="69">
        <v>567.5</v>
      </c>
      <c r="BI26" s="69">
        <v>208.95</v>
      </c>
      <c r="BJ26" s="69">
        <v>100.7</v>
      </c>
      <c r="BK26" s="69">
        <f>BH26-BI26</f>
        <v>358.55</v>
      </c>
      <c r="BP26" s="70">
        <v>62.339500000000001</v>
      </c>
      <c r="BS26" s="70">
        <v>8.0875000000000004</v>
      </c>
      <c r="CC26" s="72"/>
      <c r="CD26" s="72"/>
      <c r="CE26" s="72"/>
      <c r="CF26" s="72"/>
      <c r="CG26" s="72"/>
      <c r="CH26" s="72"/>
      <c r="CI26" s="72"/>
      <c r="CJ26" s="72"/>
      <c r="CM26" s="69"/>
      <c r="CN26" s="69"/>
      <c r="CO26" s="69"/>
      <c r="CP26" s="69"/>
      <c r="CQ26" s="76"/>
      <c r="CR26" s="76"/>
      <c r="CS26" s="177"/>
      <c r="CT26" s="70"/>
      <c r="CU26" s="76"/>
      <c r="CV26" s="77"/>
      <c r="CW26" s="77"/>
      <c r="CX26" s="77"/>
      <c r="CY26" s="77"/>
      <c r="CZ26" s="77"/>
      <c r="DA26" s="66"/>
      <c r="DB26" s="66"/>
      <c r="DC26" s="66"/>
      <c r="DD26" s="66"/>
      <c r="DE26" s="66"/>
      <c r="DF26" s="66"/>
      <c r="DG26" s="66"/>
      <c r="DH26" s="66"/>
      <c r="DI26" s="168"/>
      <c r="DJ26" s="67"/>
      <c r="DK26" s="69"/>
      <c r="DL26" s="69"/>
      <c r="DM26" s="69"/>
      <c r="DN26" s="69"/>
      <c r="DO26" s="69"/>
      <c r="DP26" s="69"/>
      <c r="DQ26" s="69"/>
      <c r="DR26" s="69"/>
      <c r="DS26" s="70"/>
      <c r="DT26" s="70"/>
      <c r="DU26" s="70"/>
      <c r="DV26" s="177"/>
      <c r="DW26" s="177"/>
      <c r="DX26" s="70"/>
      <c r="DY26" s="70"/>
      <c r="DZ26" s="71"/>
      <c r="EA26" s="71"/>
      <c r="EB26" s="180"/>
      <c r="EC26" s="180"/>
      <c r="ED26" s="71"/>
      <c r="EE26" s="180"/>
      <c r="EF26" s="66"/>
      <c r="EG26" s="66"/>
      <c r="EH26" s="79"/>
      <c r="EI26" s="66"/>
      <c r="EJ26" s="79"/>
      <c r="EK26" s="66"/>
      <c r="EL26" s="168"/>
      <c r="EM26" s="67"/>
      <c r="EN26" s="78"/>
      <c r="EO26" s="78"/>
      <c r="EP26" s="78"/>
      <c r="EQ26" s="78"/>
      <c r="ER26" s="79"/>
      <c r="ES26" s="66"/>
      <c r="ET26" s="66"/>
      <c r="EU26" s="66"/>
      <c r="EV26" s="79"/>
      <c r="EW26" s="66"/>
      <c r="EX26" s="66"/>
      <c r="EY26" s="66"/>
      <c r="EZ26" s="66"/>
      <c r="FA26" s="66"/>
      <c r="FB26" s="66"/>
    </row>
    <row r="27" spans="1:158" s="85" customFormat="1" hidden="1" x14ac:dyDescent="0.3">
      <c r="A27" s="81">
        <v>44475</v>
      </c>
      <c r="B27" s="81"/>
      <c r="C27" s="69">
        <v>83.214995739846628</v>
      </c>
      <c r="D27" s="69">
        <v>3.5758167806360586</v>
      </c>
      <c r="E27" s="69">
        <v>44.658055472113745</v>
      </c>
      <c r="F27" s="69">
        <f t="shared" si="0"/>
        <v>79.639178959210568</v>
      </c>
      <c r="G27" s="69"/>
      <c r="H27" s="69"/>
      <c r="I27" s="69"/>
      <c r="J27" s="69"/>
      <c r="K27" s="70">
        <v>52.275199999999998</v>
      </c>
      <c r="L27" s="70"/>
      <c r="M27" s="70"/>
      <c r="N27" s="70"/>
      <c r="O27" s="70"/>
      <c r="P27" s="70">
        <v>13.546099999999999</v>
      </c>
      <c r="Q27" s="70"/>
      <c r="R27" s="82"/>
      <c r="S27" s="82"/>
      <c r="T27" s="82"/>
      <c r="U27" s="82"/>
      <c r="V27" s="82"/>
      <c r="W27" s="82"/>
      <c r="X27" s="82"/>
      <c r="Y27" s="83"/>
      <c r="Z27" s="83"/>
      <c r="AA27" s="82"/>
      <c r="AB27" s="82"/>
      <c r="AC27" s="82"/>
      <c r="AD27" s="82"/>
      <c r="AE27" s="82"/>
      <c r="AF27" s="82"/>
      <c r="AG27" s="168"/>
      <c r="AH27" s="74">
        <v>6.62</v>
      </c>
      <c r="AI27" s="69"/>
      <c r="AJ27" s="69"/>
      <c r="AK27" s="69"/>
      <c r="AL27" s="69">
        <f t="shared" ref="AL27:AL101" si="7">AI27-AJ27</f>
        <v>0</v>
      </c>
      <c r="AM27" s="70"/>
      <c r="AN27" s="70"/>
      <c r="AO27" s="70"/>
      <c r="AP27" s="70"/>
      <c r="AQ27" s="70"/>
      <c r="AR27" s="71"/>
      <c r="AS27" s="71"/>
      <c r="AT27" s="71"/>
      <c r="AU27" s="71"/>
      <c r="AV27" s="71"/>
      <c r="AW27" s="82"/>
      <c r="AX27" s="84"/>
      <c r="AY27" s="84"/>
      <c r="AZ27" s="84"/>
      <c r="BA27" s="84"/>
      <c r="BB27" s="82"/>
      <c r="BC27" s="82"/>
      <c r="BD27" s="82"/>
      <c r="BE27" s="82"/>
      <c r="BF27" s="168"/>
      <c r="BG27" s="74">
        <v>7.67</v>
      </c>
      <c r="BH27" s="69"/>
      <c r="BI27" s="69"/>
      <c r="BJ27" s="69"/>
      <c r="BK27" s="69"/>
      <c r="BL27" s="69"/>
      <c r="BM27" s="69"/>
      <c r="BN27" s="69"/>
      <c r="BO27" s="69"/>
      <c r="BP27" s="70"/>
      <c r="BQ27" s="70"/>
      <c r="BR27" s="70"/>
      <c r="BS27" s="70"/>
      <c r="BT27" s="70"/>
      <c r="BU27" s="70"/>
      <c r="BV27" s="70"/>
      <c r="BW27" s="71"/>
      <c r="BX27" s="71"/>
      <c r="BY27" s="71"/>
      <c r="BZ27" s="71"/>
      <c r="CA27" s="71"/>
      <c r="CB27" s="71"/>
      <c r="CC27" s="82"/>
      <c r="CD27" s="82"/>
      <c r="CE27" s="82"/>
      <c r="CF27" s="82"/>
      <c r="CG27" s="82"/>
      <c r="CH27" s="82"/>
      <c r="CI27" s="82"/>
      <c r="CJ27" s="82"/>
      <c r="CK27" s="168"/>
      <c r="CL27" s="74"/>
      <c r="CM27" s="69"/>
      <c r="CN27" s="69"/>
      <c r="CO27" s="69"/>
      <c r="CP27" s="69"/>
      <c r="CQ27" s="76"/>
      <c r="CR27" s="76"/>
      <c r="CS27" s="177"/>
      <c r="CT27" s="70"/>
      <c r="CU27" s="76"/>
      <c r="CV27" s="77"/>
      <c r="CW27" s="77"/>
      <c r="CX27" s="77"/>
      <c r="CY27" s="77"/>
      <c r="CZ27" s="77"/>
      <c r="DA27" s="66"/>
      <c r="DB27" s="66"/>
      <c r="DC27" s="66"/>
      <c r="DD27" s="66"/>
      <c r="DE27" s="66"/>
      <c r="DF27" s="66"/>
      <c r="DG27" s="66"/>
      <c r="DH27" s="66"/>
      <c r="DI27" s="168"/>
      <c r="DJ27" s="67"/>
      <c r="DK27" s="69"/>
      <c r="DL27" s="69"/>
      <c r="DM27" s="69"/>
      <c r="DN27" s="69"/>
      <c r="DO27" s="69"/>
      <c r="DP27" s="69"/>
      <c r="DQ27" s="69"/>
      <c r="DR27" s="69"/>
      <c r="DS27" s="70"/>
      <c r="DT27" s="70"/>
      <c r="DU27" s="70"/>
      <c r="DV27" s="177"/>
      <c r="DW27" s="177"/>
      <c r="DX27" s="70"/>
      <c r="DY27" s="70"/>
      <c r="DZ27" s="71"/>
      <c r="EA27" s="71"/>
      <c r="EB27" s="180"/>
      <c r="EC27" s="180"/>
      <c r="ED27" s="71"/>
      <c r="EE27" s="180"/>
      <c r="EF27" s="66"/>
      <c r="EG27" s="66"/>
      <c r="EH27" s="79"/>
      <c r="EI27" s="66"/>
      <c r="EJ27" s="79"/>
      <c r="EK27" s="66"/>
      <c r="EL27" s="168"/>
      <c r="EM27" s="67"/>
      <c r="EN27" s="78"/>
      <c r="EO27" s="78"/>
      <c r="EP27" s="78"/>
      <c r="EQ27" s="78"/>
      <c r="ER27" s="82"/>
      <c r="ES27" s="137"/>
      <c r="ET27" s="137"/>
      <c r="EU27" s="137"/>
      <c r="EV27" s="82"/>
      <c r="EW27" s="137"/>
      <c r="EX27" s="137"/>
      <c r="EY27" s="137"/>
      <c r="EZ27" s="137"/>
      <c r="FA27" s="137"/>
      <c r="FB27" s="137"/>
    </row>
    <row r="28" spans="1:158" hidden="1" x14ac:dyDescent="0.3">
      <c r="A28" s="86">
        <v>44477</v>
      </c>
      <c r="B28" s="86"/>
      <c r="C28" s="69">
        <v>124.39647827321784</v>
      </c>
      <c r="D28" s="69">
        <v>3.6804515358732233</v>
      </c>
      <c r="E28" s="69">
        <v>33.463502553319316</v>
      </c>
      <c r="F28" s="69">
        <f t="shared" si="0"/>
        <v>120.71602673734462</v>
      </c>
      <c r="K28" s="70">
        <v>48.99</v>
      </c>
      <c r="P28" s="70">
        <v>9.8454999999999995</v>
      </c>
      <c r="X28" s="72"/>
      <c r="Y28" s="73"/>
      <c r="Z28" s="73"/>
      <c r="AA28" s="72"/>
      <c r="AB28" s="72"/>
      <c r="AC28" s="72"/>
      <c r="AD28" s="72"/>
      <c r="AE28" s="72"/>
      <c r="AF28" s="72"/>
      <c r="AH28" s="74">
        <v>7.06</v>
      </c>
      <c r="AI28" s="69">
        <v>113.12127236580517</v>
      </c>
      <c r="AJ28" s="69">
        <v>19.159882774340605</v>
      </c>
      <c r="AK28" s="69">
        <v>97.246420346450378</v>
      </c>
      <c r="AL28" s="69">
        <f t="shared" si="7"/>
        <v>93.961389591464567</v>
      </c>
      <c r="AM28" s="70">
        <v>61.976999999999997</v>
      </c>
      <c r="AP28" s="70">
        <v>0.1399</v>
      </c>
      <c r="AW28" s="72"/>
      <c r="AX28" s="75"/>
      <c r="AY28" s="75"/>
      <c r="AZ28" s="75"/>
      <c r="BA28" s="75"/>
      <c r="BB28" s="72"/>
      <c r="BC28" s="72"/>
      <c r="BD28" s="72"/>
      <c r="BE28" s="72"/>
      <c r="BG28" s="74">
        <v>7.31</v>
      </c>
      <c r="BH28" s="69">
        <v>120.90315251349048</v>
      </c>
      <c r="BI28" s="69">
        <v>19.854553348529251</v>
      </c>
      <c r="BJ28" s="69">
        <v>103.71482927806147</v>
      </c>
      <c r="BK28" s="69">
        <f t="shared" si="1"/>
        <v>101.04859916496123</v>
      </c>
      <c r="BP28" s="70">
        <v>61.504199999999997</v>
      </c>
      <c r="CC28" s="72"/>
      <c r="CD28" s="72"/>
      <c r="CE28" s="72"/>
      <c r="CF28" s="72"/>
      <c r="CG28" s="72"/>
      <c r="CH28" s="72"/>
      <c r="CI28" s="72"/>
      <c r="CJ28" s="72"/>
      <c r="CL28" s="74">
        <v>7.29</v>
      </c>
      <c r="CM28" s="69"/>
      <c r="CN28" s="69"/>
      <c r="CO28" s="69"/>
      <c r="CP28" s="69"/>
      <c r="CQ28" s="76"/>
      <c r="CR28" s="76"/>
      <c r="CS28" s="177"/>
      <c r="CT28" s="70"/>
      <c r="CU28" s="76"/>
      <c r="CV28" s="77"/>
      <c r="CW28" s="77"/>
      <c r="CX28" s="77"/>
      <c r="CY28" s="77"/>
      <c r="CZ28" s="77"/>
      <c r="DA28" s="66"/>
      <c r="DB28" s="66"/>
      <c r="DC28" s="66"/>
      <c r="DD28" s="66"/>
      <c r="DE28" s="66"/>
      <c r="DF28" s="66"/>
      <c r="DG28" s="66"/>
      <c r="DH28" s="66"/>
      <c r="DI28" s="168"/>
      <c r="DJ28" s="67"/>
      <c r="DK28" s="69"/>
      <c r="DL28" s="69"/>
      <c r="DM28" s="69"/>
      <c r="DN28" s="69"/>
      <c r="DO28" s="69"/>
      <c r="DP28" s="69"/>
      <c r="DQ28" s="69"/>
      <c r="DR28" s="69"/>
      <c r="DS28" s="70"/>
      <c r="DT28" s="70"/>
      <c r="DU28" s="70"/>
      <c r="DV28" s="177"/>
      <c r="DW28" s="177"/>
      <c r="DX28" s="70"/>
      <c r="DY28" s="70"/>
      <c r="DZ28" s="71"/>
      <c r="EA28" s="71"/>
      <c r="EB28" s="180"/>
      <c r="EC28" s="180"/>
      <c r="ED28" s="71"/>
      <c r="EE28" s="180"/>
      <c r="EF28" s="66"/>
      <c r="EG28" s="66"/>
      <c r="EH28" s="79"/>
      <c r="EI28" s="66"/>
      <c r="EJ28" s="79"/>
      <c r="EK28" s="66"/>
      <c r="EL28" s="168"/>
      <c r="EM28" s="67"/>
      <c r="EN28" s="78">
        <f t="shared" ref="EN28:EN48" si="8">(1-BH28/C28)*100</f>
        <v>2.8082191780821941</v>
      </c>
      <c r="EO28" s="78">
        <f t="shared" ref="EO28:EO48" si="9">(1-BI28/D28)*100</f>
        <v>-439.45971452164667</v>
      </c>
      <c r="EP28" s="78">
        <f t="shared" ref="EP28:EP48" si="10">(1-BJ28/E28)*100</f>
        <v>-209.93417115499699</v>
      </c>
      <c r="EQ28" s="78">
        <f t="shared" ref="EQ28:EQ48" si="11">(1-BK28/F28)*100</f>
        <v>16.292308572395285</v>
      </c>
      <c r="ER28" s="79"/>
      <c r="ES28" s="66"/>
      <c r="ET28" s="66"/>
      <c r="EU28" s="66"/>
      <c r="EV28" s="79"/>
      <c r="EW28" s="66"/>
      <c r="EX28" s="66"/>
      <c r="EY28" s="66"/>
      <c r="EZ28" s="66"/>
      <c r="FA28" s="66"/>
      <c r="FB28" s="66"/>
    </row>
    <row r="29" spans="1:158" hidden="1" x14ac:dyDescent="0.3">
      <c r="A29" s="86">
        <v>44480</v>
      </c>
      <c r="B29" s="86"/>
      <c r="C29" s="69">
        <v>75.4331155921613</v>
      </c>
      <c r="D29" s="69">
        <v>4.1775751655269726</v>
      </c>
      <c r="E29" s="69">
        <v>32.470211274657053</v>
      </c>
      <c r="F29" s="69">
        <f t="shared" si="0"/>
        <v>71.255540426634326</v>
      </c>
      <c r="K29" s="70">
        <v>61.188699999999997</v>
      </c>
      <c r="P29" s="70">
        <v>18.246200000000002</v>
      </c>
      <c r="X29" s="72"/>
      <c r="Y29" s="73"/>
      <c r="Z29" s="73"/>
      <c r="AA29" s="72"/>
      <c r="AB29" s="72"/>
      <c r="AC29" s="72"/>
      <c r="AD29" s="72"/>
      <c r="AE29" s="72"/>
      <c r="AF29" s="72"/>
      <c r="AH29" s="74">
        <v>6.53</v>
      </c>
      <c r="AI29" s="69">
        <v>88.952002272081799</v>
      </c>
      <c r="AJ29" s="69">
        <v>18.504287419950074</v>
      </c>
      <c r="AK29" s="69">
        <v>67.788124561930502</v>
      </c>
      <c r="AL29" s="69">
        <f t="shared" si="7"/>
        <v>70.447714852131725</v>
      </c>
      <c r="AM29" s="70">
        <v>55.234999999999999</v>
      </c>
      <c r="AP29" s="70">
        <v>1.3139000000000001</v>
      </c>
      <c r="AW29" s="72"/>
      <c r="AX29" s="75"/>
      <c r="AY29" s="75"/>
      <c r="AZ29" s="75"/>
      <c r="BA29" s="75"/>
      <c r="BB29" s="72"/>
      <c r="BC29" s="72"/>
      <c r="BD29" s="72"/>
      <c r="BE29" s="72"/>
      <c r="BG29" s="74">
        <v>6.89</v>
      </c>
      <c r="BH29" s="69">
        <v>97.557512070434527</v>
      </c>
      <c r="BI29" s="69">
        <v>18.953652447628354</v>
      </c>
      <c r="BJ29" s="69">
        <v>85.270852107740055</v>
      </c>
      <c r="BK29" s="69">
        <f t="shared" si="1"/>
        <v>78.603859622806169</v>
      </c>
      <c r="BP29" s="70">
        <v>54.464599999999997</v>
      </c>
      <c r="BU29" s="70">
        <v>2.0762999999999998</v>
      </c>
      <c r="CC29" s="72"/>
      <c r="CD29" s="72"/>
      <c r="CE29" s="72"/>
      <c r="CF29" s="72"/>
      <c r="CG29" s="72"/>
      <c r="CH29" s="72"/>
      <c r="CI29" s="72"/>
      <c r="CJ29" s="72"/>
      <c r="CL29" s="74">
        <v>6.81</v>
      </c>
      <c r="CM29" s="69"/>
      <c r="CN29" s="69"/>
      <c r="CO29" s="69"/>
      <c r="CP29" s="69"/>
      <c r="CQ29" s="76"/>
      <c r="CR29" s="76"/>
      <c r="CS29" s="177"/>
      <c r="CT29" s="70"/>
      <c r="CU29" s="76"/>
      <c r="CV29" s="77"/>
      <c r="CW29" s="77"/>
      <c r="CX29" s="77"/>
      <c r="CY29" s="77"/>
      <c r="CZ29" s="77"/>
      <c r="DA29" s="66"/>
      <c r="DB29" s="66"/>
      <c r="DC29" s="66"/>
      <c r="DD29" s="66"/>
      <c r="DE29" s="66"/>
      <c r="DF29" s="66"/>
      <c r="DG29" s="66"/>
      <c r="DH29" s="66"/>
      <c r="DI29" s="168"/>
      <c r="DJ29" s="67"/>
      <c r="DK29" s="69"/>
      <c r="DL29" s="69"/>
      <c r="DM29" s="69"/>
      <c r="DN29" s="69"/>
      <c r="DO29" s="69"/>
      <c r="DP29" s="69"/>
      <c r="DQ29" s="69"/>
      <c r="DR29" s="69"/>
      <c r="DS29" s="70"/>
      <c r="DT29" s="70"/>
      <c r="DU29" s="70"/>
      <c r="DV29" s="177"/>
      <c r="DW29" s="177"/>
      <c r="DX29" s="70"/>
      <c r="DY29" s="70"/>
      <c r="DZ29" s="71"/>
      <c r="EA29" s="71"/>
      <c r="EB29" s="180"/>
      <c r="EC29" s="180"/>
      <c r="ED29" s="71"/>
      <c r="EE29" s="180"/>
      <c r="EF29" s="66"/>
      <c r="EG29" s="66"/>
      <c r="EH29" s="79"/>
      <c r="EI29" s="66"/>
      <c r="EJ29" s="79"/>
      <c r="EK29" s="66"/>
      <c r="EL29" s="168"/>
      <c r="EM29" s="67"/>
      <c r="EN29" s="78">
        <f t="shared" si="8"/>
        <v>-29.329819277108449</v>
      </c>
      <c r="EO29" s="78">
        <f t="shared" si="9"/>
        <v>-353.69985450010404</v>
      </c>
      <c r="EP29" s="78">
        <f t="shared" si="10"/>
        <v>-162.61255704946342</v>
      </c>
      <c r="EQ29" s="78">
        <f t="shared" si="11"/>
        <v>-10.312628536917456</v>
      </c>
      <c r="ER29" s="79"/>
      <c r="ES29" s="66"/>
      <c r="ET29" s="66"/>
      <c r="EU29" s="66"/>
      <c r="EV29" s="79"/>
      <c r="EW29" s="66"/>
      <c r="EX29" s="66"/>
      <c r="EY29" s="66"/>
      <c r="EZ29" s="66"/>
      <c r="FA29" s="66"/>
      <c r="FB29" s="66"/>
    </row>
    <row r="30" spans="1:158" hidden="1" x14ac:dyDescent="0.3">
      <c r="A30" s="86">
        <v>44481</v>
      </c>
      <c r="B30" s="86"/>
      <c r="C30" s="69">
        <v>75.376313547287694</v>
      </c>
      <c r="D30" s="69">
        <v>4.2275046130467819</v>
      </c>
      <c r="E30" s="69">
        <v>31.765294883348353</v>
      </c>
      <c r="F30" s="69">
        <f t="shared" si="0"/>
        <v>71.148808934240918</v>
      </c>
      <c r="K30" s="70">
        <v>50.263800000000003</v>
      </c>
      <c r="P30" s="70">
        <v>18.180900000000001</v>
      </c>
      <c r="X30" s="72"/>
      <c r="Y30" s="73"/>
      <c r="Z30" s="73"/>
      <c r="AA30" s="72"/>
      <c r="AB30" s="72"/>
      <c r="AC30" s="72"/>
      <c r="AD30" s="72"/>
      <c r="AE30" s="72"/>
      <c r="AF30" s="72"/>
      <c r="AH30" s="74">
        <v>6.51</v>
      </c>
      <c r="AI30" s="69">
        <v>91.025276909968753</v>
      </c>
      <c r="AJ30" s="69">
        <v>19.088244871377402</v>
      </c>
      <c r="AK30" s="69">
        <v>65.104636026834868</v>
      </c>
      <c r="AL30" s="69">
        <f t="shared" si="7"/>
        <v>71.937032038591354</v>
      </c>
      <c r="AM30" s="70">
        <v>55.423299999999998</v>
      </c>
      <c r="AP30" s="70">
        <v>1.7521</v>
      </c>
      <c r="AW30" s="72"/>
      <c r="AX30" s="75"/>
      <c r="AY30" s="75"/>
      <c r="AZ30" s="75"/>
      <c r="BA30" s="75"/>
      <c r="BB30" s="72"/>
      <c r="BC30" s="72"/>
      <c r="BD30" s="72"/>
      <c r="BE30" s="72"/>
      <c r="BG30" s="74">
        <v>6.84</v>
      </c>
      <c r="BH30" s="69">
        <v>92.672536211303608</v>
      </c>
      <c r="BI30" s="69">
        <v>17.670682730923694</v>
      </c>
      <c r="BJ30" s="69">
        <v>70.792029638530082</v>
      </c>
      <c r="BK30" s="69">
        <f t="shared" si="1"/>
        <v>75.001853480379907</v>
      </c>
      <c r="BP30" s="70">
        <v>54.214500000000001</v>
      </c>
      <c r="BU30" s="70">
        <v>1.8302</v>
      </c>
      <c r="CC30" s="72"/>
      <c r="CD30" s="72"/>
      <c r="CE30" s="72"/>
      <c r="CF30" s="72"/>
      <c r="CG30" s="72"/>
      <c r="CH30" s="72"/>
      <c r="CI30" s="72"/>
      <c r="CJ30" s="72"/>
      <c r="CL30" s="74">
        <v>6.77</v>
      </c>
      <c r="CM30" s="69"/>
      <c r="CN30" s="69"/>
      <c r="CO30" s="69"/>
      <c r="CP30" s="69"/>
      <c r="CQ30" s="76"/>
      <c r="CR30" s="76"/>
      <c r="CS30" s="177"/>
      <c r="CT30" s="70"/>
      <c r="CU30" s="76"/>
      <c r="CV30" s="77"/>
      <c r="CW30" s="77"/>
      <c r="CX30" s="77"/>
      <c r="CY30" s="77"/>
      <c r="CZ30" s="77"/>
      <c r="DA30" s="66"/>
      <c r="DB30" s="66"/>
      <c r="DC30" s="66"/>
      <c r="DD30" s="66"/>
      <c r="DE30" s="66"/>
      <c r="DF30" s="66"/>
      <c r="DG30" s="66"/>
      <c r="DH30" s="66"/>
      <c r="DI30" s="168"/>
      <c r="DJ30" s="67"/>
      <c r="DK30" s="69"/>
      <c r="DL30" s="69"/>
      <c r="DM30" s="69"/>
      <c r="DN30" s="69"/>
      <c r="DO30" s="69"/>
      <c r="DP30" s="69"/>
      <c r="DQ30" s="69"/>
      <c r="DR30" s="69"/>
      <c r="DS30" s="70"/>
      <c r="DT30" s="70"/>
      <c r="DU30" s="70"/>
      <c r="DV30" s="177"/>
      <c r="DW30" s="177"/>
      <c r="DX30" s="70"/>
      <c r="DY30" s="70"/>
      <c r="DZ30" s="71"/>
      <c r="EA30" s="71"/>
      <c r="EB30" s="180"/>
      <c r="EC30" s="180"/>
      <c r="ED30" s="71"/>
      <c r="EE30" s="180"/>
      <c r="EF30" s="66"/>
      <c r="EG30" s="66"/>
      <c r="EH30" s="79"/>
      <c r="EI30" s="66"/>
      <c r="EJ30" s="79"/>
      <c r="EK30" s="66"/>
      <c r="EL30" s="168"/>
      <c r="EM30" s="67"/>
      <c r="EN30" s="78">
        <f t="shared" si="8"/>
        <v>-22.946495855312744</v>
      </c>
      <c r="EO30" s="78">
        <f t="shared" si="9"/>
        <v>-317.99322173153939</v>
      </c>
      <c r="EP30" s="78">
        <f t="shared" si="10"/>
        <v>-122.85966460723739</v>
      </c>
      <c r="EQ30" s="78">
        <f t="shared" si="11"/>
        <v>-5.4154730119237104</v>
      </c>
      <c r="ER30" s="79"/>
      <c r="ES30" s="66"/>
      <c r="ET30" s="66"/>
      <c r="EU30" s="66"/>
      <c r="EV30" s="79"/>
      <c r="EW30" s="66"/>
      <c r="EX30" s="66"/>
      <c r="EY30" s="66"/>
      <c r="EZ30" s="66"/>
      <c r="FA30" s="66"/>
      <c r="FB30" s="66"/>
    </row>
    <row r="31" spans="1:158" hidden="1" x14ac:dyDescent="0.3">
      <c r="A31" s="86">
        <v>44482</v>
      </c>
      <c r="B31" s="86"/>
      <c r="C31" s="69">
        <v>54.990059642147109</v>
      </c>
      <c r="D31" s="69">
        <v>4.5804840985563873</v>
      </c>
      <c r="E31" s="69">
        <v>34.048262741564031</v>
      </c>
      <c r="F31" s="69">
        <f t="shared" si="0"/>
        <v>50.409575543590719</v>
      </c>
      <c r="K31" s="70">
        <v>56.225499999999997</v>
      </c>
      <c r="P31" s="70">
        <v>18.4131</v>
      </c>
      <c r="X31" s="72"/>
      <c r="Y31" s="73"/>
      <c r="Z31" s="73"/>
      <c r="AA31" s="72"/>
      <c r="AB31" s="72"/>
      <c r="AC31" s="72"/>
      <c r="AD31" s="72"/>
      <c r="AE31" s="72"/>
      <c r="AF31" s="72"/>
      <c r="AH31" s="74">
        <v>7.34</v>
      </c>
      <c r="AI31" s="87">
        <v>94.34819653507526</v>
      </c>
      <c r="AJ31" s="87">
        <v>18.059264083360468</v>
      </c>
      <c r="AK31" s="87">
        <v>63.742865725443068</v>
      </c>
      <c r="AL31" s="87">
        <f t="shared" si="7"/>
        <v>76.2889324517148</v>
      </c>
      <c r="AM31" s="70">
        <v>53.163600000000002</v>
      </c>
      <c r="AP31" s="70">
        <v>3.0920000000000001</v>
      </c>
      <c r="AW31" s="72"/>
      <c r="AX31" s="75"/>
      <c r="AY31" s="75"/>
      <c r="AZ31" s="75"/>
      <c r="BA31" s="75"/>
      <c r="BB31" s="72"/>
      <c r="BC31" s="72"/>
      <c r="BD31" s="72"/>
      <c r="BE31" s="72"/>
      <c r="BG31" s="74">
        <v>6.76</v>
      </c>
      <c r="BH31" s="69">
        <v>80.261289406418626</v>
      </c>
      <c r="BI31" s="69">
        <v>17.974601107131228</v>
      </c>
      <c r="BJ31" s="69">
        <v>60.138179633523578</v>
      </c>
      <c r="BK31" s="69">
        <f t="shared" si="1"/>
        <v>62.286688299287398</v>
      </c>
      <c r="BP31" s="70">
        <v>55.290999999999997</v>
      </c>
      <c r="BU31" s="70">
        <v>9.0558999999999994</v>
      </c>
      <c r="CC31" s="72"/>
      <c r="CD31" s="72"/>
      <c r="CE31" s="72"/>
      <c r="CF31" s="72"/>
      <c r="CG31" s="72"/>
      <c r="CH31" s="72"/>
      <c r="CI31" s="72"/>
      <c r="CJ31" s="72"/>
      <c r="CL31" s="74">
        <v>6.63</v>
      </c>
      <c r="CM31" s="69"/>
      <c r="CN31" s="69"/>
      <c r="CO31" s="69"/>
      <c r="CP31" s="69"/>
      <c r="CQ31" s="76"/>
      <c r="CR31" s="76"/>
      <c r="CS31" s="177"/>
      <c r="CT31" s="70"/>
      <c r="CU31" s="76"/>
      <c r="CV31" s="77"/>
      <c r="CW31" s="77"/>
      <c r="CX31" s="77"/>
      <c r="CY31" s="77"/>
      <c r="CZ31" s="77"/>
      <c r="DA31" s="66"/>
      <c r="DB31" s="66"/>
      <c r="DC31" s="66"/>
      <c r="DD31" s="66"/>
      <c r="DE31" s="66"/>
      <c r="DF31" s="66"/>
      <c r="DG31" s="66"/>
      <c r="DH31" s="66"/>
      <c r="DI31" s="168"/>
      <c r="DJ31" s="67"/>
      <c r="DK31" s="69"/>
      <c r="DL31" s="69"/>
      <c r="DM31" s="69"/>
      <c r="DN31" s="69"/>
      <c r="DO31" s="69"/>
      <c r="DP31" s="69"/>
      <c r="DQ31" s="69"/>
      <c r="DR31" s="69"/>
      <c r="DS31" s="70"/>
      <c r="DT31" s="70"/>
      <c r="DU31" s="70"/>
      <c r="DV31" s="177"/>
      <c r="DW31" s="177"/>
      <c r="DX31" s="70"/>
      <c r="DY31" s="70"/>
      <c r="DZ31" s="71"/>
      <c r="EA31" s="71"/>
      <c r="EB31" s="180"/>
      <c r="EC31" s="180"/>
      <c r="ED31" s="71"/>
      <c r="EE31" s="180"/>
      <c r="EF31" s="66"/>
      <c r="EG31" s="66"/>
      <c r="EH31" s="79"/>
      <c r="EI31" s="66"/>
      <c r="EJ31" s="79"/>
      <c r="EK31" s="66"/>
      <c r="EL31" s="168"/>
      <c r="EM31" s="67"/>
      <c r="EN31" s="78">
        <f t="shared" si="8"/>
        <v>-45.955996281375903</v>
      </c>
      <c r="EO31" s="78">
        <f t="shared" si="9"/>
        <v>-292.41706161137444</v>
      </c>
      <c r="EP31" s="78">
        <f t="shared" si="10"/>
        <v>-76.626279261263377</v>
      </c>
      <c r="EQ31" s="78">
        <f t="shared" si="11"/>
        <v>-23.561223492997229</v>
      </c>
      <c r="ER31" s="79"/>
      <c r="ES31" s="66"/>
      <c r="ET31" s="66"/>
      <c r="EU31" s="66"/>
      <c r="EV31" s="79"/>
      <c r="EW31" s="66"/>
      <c r="EX31" s="66"/>
      <c r="EY31" s="66"/>
      <c r="EZ31" s="66"/>
      <c r="FA31" s="66"/>
      <c r="FB31" s="66"/>
    </row>
    <row r="32" spans="1:158" hidden="1" x14ac:dyDescent="0.3">
      <c r="A32" s="86">
        <v>44487</v>
      </c>
      <c r="B32" s="86"/>
      <c r="C32" s="69">
        <v>69.071286566316388</v>
      </c>
      <c r="D32" s="69">
        <v>45.066753500488446</v>
      </c>
      <c r="E32" s="69">
        <v>19.917893261239609</v>
      </c>
      <c r="F32" s="69">
        <f t="shared" si="0"/>
        <v>24.004533065827943</v>
      </c>
      <c r="K32" s="70">
        <v>44.264800000000001</v>
      </c>
      <c r="P32" s="70">
        <v>9.2371999999999996</v>
      </c>
      <c r="X32" s="72"/>
      <c r="Y32" s="73"/>
      <c r="Z32" s="73"/>
      <c r="AA32" s="72"/>
      <c r="AB32" s="72"/>
      <c r="AC32" s="72"/>
      <c r="AD32" s="72"/>
      <c r="AE32" s="72"/>
      <c r="AF32" s="72"/>
      <c r="AI32" s="87">
        <v>69.838114172110195</v>
      </c>
      <c r="AJ32" s="87">
        <v>103.72300010854228</v>
      </c>
      <c r="AK32" s="87">
        <v>49.244017222389104</v>
      </c>
      <c r="AL32" s="87">
        <f t="shared" si="7"/>
        <v>-33.884885936432084</v>
      </c>
      <c r="AM32" s="70">
        <v>53.598999999999997</v>
      </c>
      <c r="AW32" s="72"/>
      <c r="AX32" s="75"/>
      <c r="AY32" s="75"/>
      <c r="AZ32" s="75"/>
      <c r="BA32" s="75"/>
      <c r="BB32" s="72"/>
      <c r="BC32" s="72"/>
      <c r="BD32" s="72"/>
      <c r="BE32" s="72"/>
      <c r="BH32" s="69">
        <v>75.347912524850898</v>
      </c>
      <c r="BI32" s="69">
        <v>112.55834147400412</v>
      </c>
      <c r="BJ32" s="69">
        <v>49.163913087013114</v>
      </c>
      <c r="BK32" s="69">
        <f>BH32-BI32</f>
        <v>-37.210428949153226</v>
      </c>
      <c r="BP32" s="70">
        <v>53.551600000000001</v>
      </c>
      <c r="BU32" s="70">
        <v>0.1399</v>
      </c>
      <c r="CC32" s="72"/>
      <c r="CD32" s="72"/>
      <c r="CE32" s="72"/>
      <c r="CF32" s="72"/>
      <c r="CG32" s="72"/>
      <c r="CH32" s="72"/>
      <c r="CI32" s="72"/>
      <c r="CJ32" s="72"/>
      <c r="CM32" s="69"/>
      <c r="CN32" s="69"/>
      <c r="CO32" s="69"/>
      <c r="CP32" s="69"/>
      <c r="CQ32" s="76"/>
      <c r="CR32" s="76"/>
      <c r="CS32" s="177"/>
      <c r="CT32" s="70"/>
      <c r="CU32" s="76"/>
      <c r="CV32" s="77"/>
      <c r="CW32" s="77"/>
      <c r="CX32" s="77"/>
      <c r="CY32" s="77"/>
      <c r="CZ32" s="77"/>
      <c r="DA32" s="66"/>
      <c r="DB32" s="66"/>
      <c r="DC32" s="66"/>
      <c r="DD32" s="66"/>
      <c r="DE32" s="66"/>
      <c r="DF32" s="66"/>
      <c r="DG32" s="66"/>
      <c r="DH32" s="66"/>
      <c r="DI32" s="168"/>
      <c r="DJ32" s="67"/>
      <c r="DK32" s="69"/>
      <c r="DL32" s="69"/>
      <c r="DM32" s="69"/>
      <c r="DN32" s="69"/>
      <c r="DO32" s="69"/>
      <c r="DP32" s="69"/>
      <c r="DQ32" s="69"/>
      <c r="DR32" s="69"/>
      <c r="DS32" s="70"/>
      <c r="DT32" s="70"/>
      <c r="DU32" s="70"/>
      <c r="DV32" s="177"/>
      <c r="DW32" s="177"/>
      <c r="DX32" s="70"/>
      <c r="DY32" s="70"/>
      <c r="DZ32" s="71"/>
      <c r="EA32" s="71"/>
      <c r="EB32" s="180"/>
      <c r="EC32" s="180"/>
      <c r="ED32" s="71"/>
      <c r="EE32" s="180"/>
      <c r="EF32" s="66"/>
      <c r="EG32" s="66"/>
      <c r="EH32" s="79"/>
      <c r="EI32" s="66"/>
      <c r="EJ32" s="79"/>
      <c r="EK32" s="66"/>
      <c r="EL32" s="168"/>
      <c r="EM32" s="67"/>
      <c r="EN32" s="78">
        <f t="shared" si="8"/>
        <v>-9.087171052631593</v>
      </c>
      <c r="EO32" s="78">
        <f t="shared" si="9"/>
        <v>-149.75915221579959</v>
      </c>
      <c r="EP32" s="78">
        <f t="shared" si="10"/>
        <v>-146.83289764729543</v>
      </c>
      <c r="EQ32" s="78">
        <f t="shared" si="11"/>
        <v>255.01417522728138</v>
      </c>
      <c r="ER32" s="79"/>
      <c r="ES32" s="66"/>
      <c r="ET32" s="66"/>
      <c r="EU32" s="66"/>
      <c r="EV32" s="79"/>
      <c r="EW32" s="66"/>
      <c r="EX32" s="66"/>
      <c r="EY32" s="66"/>
      <c r="EZ32" s="66"/>
      <c r="FA32" s="66"/>
      <c r="FB32" s="66"/>
    </row>
    <row r="33" spans="1:158" hidden="1" x14ac:dyDescent="0.3">
      <c r="A33" s="86">
        <v>44501</v>
      </c>
      <c r="B33" s="86"/>
      <c r="C33" s="69">
        <v>103.94</v>
      </c>
      <c r="D33" s="69">
        <v>55.01</v>
      </c>
      <c r="E33" s="69">
        <v>23.69</v>
      </c>
      <c r="F33" s="69">
        <f t="shared" si="0"/>
        <v>48.93</v>
      </c>
      <c r="K33" s="70">
        <v>65.037599999999998</v>
      </c>
      <c r="N33" s="70">
        <v>0.4743</v>
      </c>
      <c r="P33" s="70">
        <v>21.238800000000001</v>
      </c>
      <c r="Q33" s="70">
        <v>1.3455999999999999</v>
      </c>
      <c r="R33" s="71">
        <v>106.54989999999999</v>
      </c>
      <c r="T33" s="71">
        <v>52.838200000000001</v>
      </c>
      <c r="U33" s="71">
        <v>24.776900000000001</v>
      </c>
      <c r="V33" s="71">
        <v>5.6550000000000002</v>
      </c>
      <c r="W33" s="71">
        <v>28.266200000000001</v>
      </c>
      <c r="X33" s="72"/>
      <c r="Y33" s="73"/>
      <c r="Z33" s="73"/>
      <c r="AA33" s="72"/>
      <c r="AB33" s="72"/>
      <c r="AC33" s="72"/>
      <c r="AD33" s="72"/>
      <c r="AE33" s="72"/>
      <c r="AF33" s="72"/>
      <c r="AI33" s="87">
        <v>122.45</v>
      </c>
      <c r="AJ33" s="87">
        <v>111.85</v>
      </c>
      <c r="AK33" s="87">
        <v>56.74</v>
      </c>
      <c r="AL33" s="87">
        <f t="shared" si="7"/>
        <v>10.600000000000009</v>
      </c>
      <c r="AM33" s="70">
        <v>58.9221</v>
      </c>
      <c r="AO33" s="70">
        <v>1.18E-2</v>
      </c>
      <c r="AP33" s="70">
        <v>7.1083999999999996</v>
      </c>
      <c r="AQ33" s="70">
        <v>5.5805999999999996</v>
      </c>
      <c r="AR33" s="71">
        <v>149.0812</v>
      </c>
      <c r="AS33" s="71">
        <v>50.847799999999999</v>
      </c>
      <c r="AT33" s="71">
        <v>30.8172</v>
      </c>
      <c r="AU33" s="71">
        <v>5.8498999999999999</v>
      </c>
      <c r="AV33" s="71">
        <v>32.822000000000003</v>
      </c>
      <c r="AW33" s="72"/>
      <c r="AX33" s="75"/>
      <c r="AY33" s="75"/>
      <c r="AZ33" s="75"/>
      <c r="BA33" s="75"/>
      <c r="BB33" s="72"/>
      <c r="BC33" s="72"/>
      <c r="BD33" s="72"/>
      <c r="BE33" s="72"/>
      <c r="BH33" s="69">
        <v>115.33</v>
      </c>
      <c r="BI33" s="69">
        <v>119.27</v>
      </c>
      <c r="BJ33" s="69">
        <v>55.83</v>
      </c>
      <c r="BK33" s="69">
        <f t="shared" ref="BK33:BK61" si="12">BH33-BI33</f>
        <v>-3.9399999999999977</v>
      </c>
      <c r="BP33" s="70">
        <v>58.734000000000002</v>
      </c>
      <c r="BS33" s="70">
        <v>6.1699999999999998E-2</v>
      </c>
      <c r="BU33" s="70">
        <v>11.366300000000001</v>
      </c>
      <c r="BV33" s="70">
        <v>4.0201000000000002</v>
      </c>
      <c r="BW33" s="71">
        <v>146.3509</v>
      </c>
      <c r="BY33" s="71">
        <v>50.552</v>
      </c>
      <c r="BZ33" s="71">
        <v>29.662199999999999</v>
      </c>
      <c r="CA33" s="71">
        <v>5.8304999999999998</v>
      </c>
      <c r="CB33" s="71">
        <v>33.222499999999997</v>
      </c>
      <c r="CC33" s="72"/>
      <c r="CD33" s="72"/>
      <c r="CE33" s="72"/>
      <c r="CF33" s="72"/>
      <c r="CG33" s="72"/>
      <c r="CH33" s="72"/>
      <c r="CI33" s="72"/>
      <c r="CJ33" s="72"/>
      <c r="CM33" s="69"/>
      <c r="CN33" s="69"/>
      <c r="CO33" s="69"/>
      <c r="CP33" s="69"/>
      <c r="CQ33" s="76"/>
      <c r="CR33" s="76"/>
      <c r="CS33" s="177"/>
      <c r="CT33" s="70"/>
      <c r="CU33" s="76"/>
      <c r="CV33" s="77"/>
      <c r="CW33" s="77"/>
      <c r="CX33" s="77"/>
      <c r="CY33" s="77"/>
      <c r="CZ33" s="77"/>
      <c r="DA33" s="66"/>
      <c r="DB33" s="66"/>
      <c r="DC33" s="66"/>
      <c r="DD33" s="66"/>
      <c r="DE33" s="66"/>
      <c r="DF33" s="66"/>
      <c r="DG33" s="66"/>
      <c r="DH33" s="66"/>
      <c r="DI33" s="168"/>
      <c r="DJ33" s="67"/>
      <c r="DK33" s="69"/>
      <c r="DL33" s="69"/>
      <c r="DM33" s="69"/>
      <c r="DN33" s="69"/>
      <c r="DO33" s="69"/>
      <c r="DP33" s="69"/>
      <c r="DQ33" s="69"/>
      <c r="DR33" s="69"/>
      <c r="DS33" s="70"/>
      <c r="DT33" s="70"/>
      <c r="DU33" s="70"/>
      <c r="DV33" s="177"/>
      <c r="DW33" s="177"/>
      <c r="DX33" s="70"/>
      <c r="DY33" s="70"/>
      <c r="DZ33" s="71"/>
      <c r="EA33" s="71"/>
      <c r="EB33" s="180"/>
      <c r="EC33" s="180"/>
      <c r="ED33" s="71"/>
      <c r="EE33" s="180"/>
      <c r="EF33" s="66"/>
      <c r="EG33" s="66"/>
      <c r="EH33" s="79"/>
      <c r="EI33" s="66"/>
      <c r="EJ33" s="79"/>
      <c r="EK33" s="66"/>
      <c r="EL33" s="168"/>
      <c r="EM33" s="67"/>
      <c r="EN33" s="78">
        <f t="shared" si="8"/>
        <v>-10.958245141427758</v>
      </c>
      <c r="EO33" s="78">
        <f t="shared" si="9"/>
        <v>-116.81512452281405</v>
      </c>
      <c r="EP33" s="78">
        <f t="shared" si="10"/>
        <v>-135.66905867454619</v>
      </c>
      <c r="EQ33" s="78">
        <f t="shared" si="11"/>
        <v>108.05231964030246</v>
      </c>
      <c r="ER33" s="79"/>
      <c r="ES33" s="66"/>
      <c r="ET33" s="66"/>
      <c r="EU33" s="66"/>
      <c r="EV33" s="79"/>
      <c r="EW33" s="66"/>
      <c r="EX33" s="66"/>
      <c r="EY33" s="66"/>
      <c r="EZ33" s="66"/>
      <c r="FA33" s="66"/>
      <c r="FB33" s="66"/>
    </row>
    <row r="34" spans="1:158" hidden="1" x14ac:dyDescent="0.3">
      <c r="A34" s="86">
        <v>44502</v>
      </c>
      <c r="B34" s="86"/>
      <c r="C34" s="69">
        <v>128.91</v>
      </c>
      <c r="D34" s="69">
        <v>48.2</v>
      </c>
      <c r="E34" s="69">
        <v>18.45</v>
      </c>
      <c r="F34" s="69">
        <f t="shared" si="0"/>
        <v>80.709999999999994</v>
      </c>
      <c r="K34" s="70">
        <v>57.135899999999999</v>
      </c>
      <c r="N34" s="70">
        <v>3.4500000000000003E-2</v>
      </c>
      <c r="P34" s="70">
        <v>15.4666</v>
      </c>
      <c r="Q34" s="70">
        <v>1.6469</v>
      </c>
      <c r="R34" s="71">
        <v>77.789699999999996</v>
      </c>
      <c r="T34" s="71">
        <v>47.249299999999998</v>
      </c>
      <c r="U34" s="71">
        <v>20.3812</v>
      </c>
      <c r="V34" s="71">
        <v>5.3632</v>
      </c>
      <c r="W34" s="71">
        <v>29.520499999999998</v>
      </c>
      <c r="X34" s="72"/>
      <c r="Y34" s="73"/>
      <c r="Z34" s="73"/>
      <c r="AA34" s="72"/>
      <c r="AB34" s="72"/>
      <c r="AC34" s="72"/>
      <c r="AD34" s="72"/>
      <c r="AE34" s="72"/>
      <c r="AF34" s="72"/>
      <c r="AI34" s="87">
        <v>126.92</v>
      </c>
      <c r="AJ34" s="87">
        <v>78.010000000000005</v>
      </c>
      <c r="AK34" s="87">
        <v>45.98</v>
      </c>
      <c r="AL34" s="87">
        <f t="shared" si="7"/>
        <v>48.91</v>
      </c>
      <c r="AM34" s="70">
        <v>63.171399999999998</v>
      </c>
      <c r="AO34" s="70">
        <v>2.23E-2</v>
      </c>
      <c r="AP34" s="70">
        <v>13.8919</v>
      </c>
      <c r="AQ34" s="70">
        <v>1.1739999999999999</v>
      </c>
      <c r="AR34" s="71">
        <v>106.76779999999999</v>
      </c>
      <c r="AS34" s="71">
        <v>52.599499999999999</v>
      </c>
      <c r="AT34" s="71">
        <v>24.616499999999998</v>
      </c>
      <c r="AU34" s="71">
        <v>5.2714999999999996</v>
      </c>
      <c r="AV34" s="71">
        <v>29.479299999999999</v>
      </c>
      <c r="AW34" s="72"/>
      <c r="AX34" s="75"/>
      <c r="AY34" s="75"/>
      <c r="AZ34" s="75"/>
      <c r="BA34" s="75"/>
      <c r="BB34" s="72"/>
      <c r="BC34" s="72"/>
      <c r="BD34" s="72"/>
      <c r="BE34" s="72"/>
      <c r="BH34" s="69">
        <v>124.21</v>
      </c>
      <c r="BI34" s="69">
        <v>82.75</v>
      </c>
      <c r="BJ34" s="69">
        <v>49.95</v>
      </c>
      <c r="BK34" s="69">
        <f t="shared" si="12"/>
        <v>41.459999999999994</v>
      </c>
      <c r="BP34" s="70">
        <v>62.960700000000003</v>
      </c>
      <c r="BU34" s="70">
        <v>13.6267</v>
      </c>
      <c r="BV34" s="70">
        <v>1.1701999999999999</v>
      </c>
      <c r="BW34" s="71">
        <v>108.9378</v>
      </c>
      <c r="BY34" s="71">
        <v>52.428699999999999</v>
      </c>
      <c r="BZ34" s="71">
        <v>24.4392</v>
      </c>
      <c r="CA34" s="71">
        <v>5.2743000000000002</v>
      </c>
      <c r="CB34" s="71">
        <v>29.579899999999999</v>
      </c>
      <c r="CC34" s="72"/>
      <c r="CD34" s="72"/>
      <c r="CE34" s="72"/>
      <c r="CF34" s="72"/>
      <c r="CG34" s="72"/>
      <c r="CH34" s="72"/>
      <c r="CI34" s="72"/>
      <c r="CJ34" s="72"/>
      <c r="CM34" s="69"/>
      <c r="CN34" s="69"/>
      <c r="CO34" s="69"/>
      <c r="CP34" s="69"/>
      <c r="CQ34" s="76"/>
      <c r="CR34" s="76"/>
      <c r="CS34" s="177"/>
      <c r="CT34" s="70"/>
      <c r="CU34" s="76"/>
      <c r="CV34" s="77"/>
      <c r="CW34" s="77"/>
      <c r="CX34" s="77"/>
      <c r="CY34" s="77"/>
      <c r="CZ34" s="77"/>
      <c r="DA34" s="66"/>
      <c r="DB34" s="66"/>
      <c r="DC34" s="66"/>
      <c r="DD34" s="66"/>
      <c r="DE34" s="66"/>
      <c r="DF34" s="66"/>
      <c r="DG34" s="66"/>
      <c r="DH34" s="66"/>
      <c r="DI34" s="168"/>
      <c r="DJ34" s="67"/>
      <c r="DK34" s="69"/>
      <c r="DL34" s="69"/>
      <c r="DM34" s="69"/>
      <c r="DN34" s="69"/>
      <c r="DO34" s="69"/>
      <c r="DP34" s="69"/>
      <c r="DQ34" s="69"/>
      <c r="DR34" s="69"/>
      <c r="DS34" s="70"/>
      <c r="DT34" s="70"/>
      <c r="DU34" s="70"/>
      <c r="DV34" s="177"/>
      <c r="DW34" s="177"/>
      <c r="DX34" s="70"/>
      <c r="DY34" s="70"/>
      <c r="DZ34" s="71"/>
      <c r="EA34" s="71"/>
      <c r="EB34" s="180"/>
      <c r="EC34" s="180"/>
      <c r="ED34" s="71"/>
      <c r="EE34" s="180"/>
      <c r="EF34" s="66"/>
      <c r="EG34" s="66"/>
      <c r="EH34" s="79"/>
      <c r="EI34" s="66"/>
      <c r="EJ34" s="79"/>
      <c r="EK34" s="66"/>
      <c r="EL34" s="168"/>
      <c r="EM34" s="67"/>
      <c r="EN34" s="78">
        <f t="shared" si="8"/>
        <v>3.6459545419284756</v>
      </c>
      <c r="EO34" s="78">
        <f t="shared" si="9"/>
        <v>-71.680497925311187</v>
      </c>
      <c r="EP34" s="78">
        <f t="shared" si="10"/>
        <v>-170.73170731707319</v>
      </c>
      <c r="EQ34" s="78">
        <f t="shared" si="11"/>
        <v>48.630900755792354</v>
      </c>
      <c r="ER34" s="79"/>
      <c r="ES34" s="66"/>
      <c r="ET34" s="66"/>
      <c r="EU34" s="66"/>
      <c r="EV34" s="79"/>
      <c r="EW34" s="66"/>
      <c r="EX34" s="66"/>
      <c r="EY34" s="66"/>
      <c r="EZ34" s="66"/>
      <c r="FA34" s="66"/>
      <c r="FB34" s="66"/>
    </row>
    <row r="35" spans="1:158" hidden="1" x14ac:dyDescent="0.3">
      <c r="A35" s="86">
        <v>44516</v>
      </c>
      <c r="B35" s="86"/>
      <c r="C35" s="69">
        <v>115.67594682718837</v>
      </c>
      <c r="D35" s="69">
        <v>34.605125826278559</v>
      </c>
      <c r="E35" s="69">
        <v>16.714356191415884</v>
      </c>
      <c r="F35" s="69">
        <f t="shared" si="0"/>
        <v>81.070821000909802</v>
      </c>
      <c r="K35" s="70">
        <v>75.146299999999997</v>
      </c>
      <c r="L35" s="70">
        <v>0.11070000000000001</v>
      </c>
      <c r="P35" s="70">
        <v>13.9491</v>
      </c>
      <c r="Q35" s="70">
        <v>33.767099999999999</v>
      </c>
      <c r="R35" s="71">
        <v>89.248000000000005</v>
      </c>
      <c r="T35" s="71">
        <v>62.156700000000001</v>
      </c>
      <c r="U35" s="71">
        <v>22.836200000000002</v>
      </c>
      <c r="V35" s="71">
        <v>5.2766999999999999</v>
      </c>
      <c r="W35" s="71">
        <v>28.0762</v>
      </c>
      <c r="X35" s="72"/>
      <c r="Y35" s="73"/>
      <c r="Z35" s="73"/>
      <c r="AA35" s="72"/>
      <c r="AB35" s="72"/>
      <c r="AC35" s="72"/>
      <c r="AD35" s="72"/>
      <c r="AE35" s="72"/>
      <c r="AF35" s="72"/>
      <c r="AI35" s="87">
        <v>51.467268623024829</v>
      </c>
      <c r="AJ35" s="87">
        <v>84.759364490316599</v>
      </c>
      <c r="AK35" s="87">
        <v>16.786712711725045</v>
      </c>
      <c r="AL35" s="87">
        <f t="shared" si="7"/>
        <v>-33.292095867291771</v>
      </c>
      <c r="AM35" s="70">
        <v>55.472499999999997</v>
      </c>
      <c r="AO35" s="70">
        <v>2.3E-2</v>
      </c>
      <c r="AP35" s="70">
        <v>17.360499999999998</v>
      </c>
      <c r="AQ35" s="70">
        <v>4.4093999999999998</v>
      </c>
      <c r="AR35" s="71">
        <v>125.67010000000001</v>
      </c>
      <c r="AS35" s="71">
        <v>49.179400000000001</v>
      </c>
      <c r="AT35" s="71">
        <v>26.2041</v>
      </c>
      <c r="AU35" s="71">
        <v>5.6715</v>
      </c>
      <c r="AV35" s="71">
        <v>32.124000000000002</v>
      </c>
      <c r="AW35" s="72"/>
      <c r="AX35" s="75"/>
      <c r="AY35" s="75"/>
      <c r="AZ35" s="75"/>
      <c r="BA35" s="75"/>
      <c r="BB35" s="72"/>
      <c r="BC35" s="72"/>
      <c r="BD35" s="72"/>
      <c r="BE35" s="72"/>
      <c r="BH35" s="69">
        <v>65.914221218961629</v>
      </c>
      <c r="BI35" s="69">
        <v>85.817001043720296</v>
      </c>
      <c r="BK35" s="69">
        <f t="shared" si="12"/>
        <v>-19.902779824758667</v>
      </c>
      <c r="BP35" s="70">
        <v>54.934699999999999</v>
      </c>
      <c r="BS35" s="70">
        <v>1.9599999999999999E-2</v>
      </c>
      <c r="BU35" s="70">
        <v>22.3246</v>
      </c>
      <c r="BV35" s="70">
        <v>5.0023</v>
      </c>
      <c r="BW35" s="71">
        <v>125.6831</v>
      </c>
      <c r="BY35" s="71">
        <v>48.816600000000001</v>
      </c>
      <c r="BZ35" s="71">
        <v>25.9786</v>
      </c>
      <c r="CA35" s="71">
        <v>5.7287999999999997</v>
      </c>
      <c r="CB35" s="71">
        <v>32.984999999999999</v>
      </c>
      <c r="CC35" s="72"/>
      <c r="CD35" s="72"/>
      <c r="CE35" s="72"/>
      <c r="CF35" s="72"/>
      <c r="CG35" s="72"/>
      <c r="CH35" s="72"/>
      <c r="CI35" s="72"/>
      <c r="CJ35" s="72"/>
      <c r="CM35" s="69"/>
      <c r="CN35" s="69"/>
      <c r="CO35" s="69"/>
      <c r="CP35" s="69"/>
      <c r="CQ35" s="76"/>
      <c r="CR35" s="76"/>
      <c r="CS35" s="177"/>
      <c r="CT35" s="70"/>
      <c r="CU35" s="76"/>
      <c r="CV35" s="77"/>
      <c r="CW35" s="77"/>
      <c r="CX35" s="77"/>
      <c r="CY35" s="77"/>
      <c r="CZ35" s="77"/>
      <c r="DA35" s="66"/>
      <c r="DB35" s="66"/>
      <c r="DC35" s="66"/>
      <c r="DD35" s="66"/>
      <c r="DE35" s="66"/>
      <c r="DF35" s="66"/>
      <c r="DG35" s="66"/>
      <c r="DH35" s="66"/>
      <c r="DI35" s="168"/>
      <c r="DJ35" s="67"/>
      <c r="DK35" s="69"/>
      <c r="DL35" s="69"/>
      <c r="DM35" s="69"/>
      <c r="DN35" s="69"/>
      <c r="DO35" s="69"/>
      <c r="DP35" s="69"/>
      <c r="DQ35" s="69"/>
      <c r="DR35" s="69"/>
      <c r="DS35" s="70"/>
      <c r="DT35" s="70"/>
      <c r="DU35" s="70"/>
      <c r="DV35" s="177"/>
      <c r="DW35" s="177"/>
      <c r="DX35" s="70"/>
      <c r="DY35" s="70"/>
      <c r="DZ35" s="71"/>
      <c r="EA35" s="71"/>
      <c r="EB35" s="180"/>
      <c r="EC35" s="180"/>
      <c r="ED35" s="71"/>
      <c r="EE35" s="180"/>
      <c r="EF35" s="66"/>
      <c r="EG35" s="66"/>
      <c r="EH35" s="79"/>
      <c r="EI35" s="66"/>
      <c r="EJ35" s="79"/>
      <c r="EK35" s="66"/>
      <c r="EL35" s="168"/>
      <c r="EM35" s="67"/>
      <c r="EN35" s="78">
        <f t="shared" si="8"/>
        <v>43.018213356461409</v>
      </c>
      <c r="EO35" s="78">
        <f t="shared" si="9"/>
        <v>-147.98927613941021</v>
      </c>
      <c r="EP35" s="78">
        <f t="shared" si="10"/>
        <v>100</v>
      </c>
      <c r="EQ35" s="78">
        <f t="shared" si="11"/>
        <v>124.54986834848425</v>
      </c>
      <c r="ER35" s="79"/>
      <c r="ES35" s="66"/>
      <c r="ET35" s="66"/>
      <c r="EU35" s="66"/>
      <c r="EV35" s="79"/>
      <c r="EW35" s="66"/>
      <c r="EX35" s="66"/>
      <c r="EY35" s="66"/>
      <c r="EZ35" s="66"/>
      <c r="FA35" s="66"/>
      <c r="FB35" s="66"/>
    </row>
    <row r="36" spans="1:158" hidden="1" x14ac:dyDescent="0.3">
      <c r="A36" s="86">
        <v>44518</v>
      </c>
      <c r="B36" s="86"/>
      <c r="C36" s="69">
        <v>148.08126410835214</v>
      </c>
      <c r="D36" s="69">
        <v>30.253971935521282</v>
      </c>
      <c r="E36" s="69">
        <v>19.97697747081072</v>
      </c>
      <c r="F36" s="69">
        <f t="shared" si="0"/>
        <v>117.82729217283087</v>
      </c>
      <c r="K36" s="70">
        <v>58.843699999999998</v>
      </c>
      <c r="P36" s="70">
        <v>11.5663</v>
      </c>
      <c r="Q36" s="70">
        <v>35.593800000000002</v>
      </c>
      <c r="R36" s="71">
        <v>93.999600000000001</v>
      </c>
      <c r="T36" s="71">
        <v>54.363199999999999</v>
      </c>
      <c r="U36" s="71">
        <v>21.513000000000002</v>
      </c>
      <c r="V36" s="71">
        <v>5.3907999999999996</v>
      </c>
      <c r="W36" s="71">
        <v>27.893999999999998</v>
      </c>
      <c r="X36" s="72"/>
      <c r="Y36" s="73"/>
      <c r="Z36" s="73"/>
      <c r="AA36" s="72"/>
      <c r="AB36" s="72"/>
      <c r="AC36" s="72"/>
      <c r="AD36" s="72"/>
      <c r="AE36" s="72"/>
      <c r="AF36" s="72"/>
      <c r="AI36" s="87">
        <v>92.420366190117889</v>
      </c>
      <c r="AJ36" s="87">
        <v>44.680505624492639</v>
      </c>
      <c r="AK36" s="87">
        <v>15.148824206544976</v>
      </c>
      <c r="AL36" s="87">
        <f t="shared" si="7"/>
        <v>47.73986056562525</v>
      </c>
      <c r="AM36" s="70">
        <v>49.727600000000002</v>
      </c>
      <c r="AO36" s="70">
        <v>2.7799999999999998E-2</v>
      </c>
      <c r="AP36" s="70">
        <v>7.7544000000000004</v>
      </c>
      <c r="AQ36" s="70">
        <v>31.838699999999999</v>
      </c>
      <c r="AR36" s="71">
        <v>84.724000000000004</v>
      </c>
      <c r="AS36" s="71">
        <v>48.7515</v>
      </c>
      <c r="AT36" s="71">
        <v>19.5928</v>
      </c>
      <c r="AU36" s="71">
        <v>5.1292999999999997</v>
      </c>
      <c r="AV36" s="71">
        <v>28.369299999999999</v>
      </c>
      <c r="AW36" s="72"/>
      <c r="AX36" s="75"/>
      <c r="AY36" s="75"/>
      <c r="AZ36" s="75"/>
      <c r="BA36" s="75"/>
      <c r="BB36" s="72"/>
      <c r="BC36" s="72"/>
      <c r="BD36" s="72"/>
      <c r="BE36" s="72"/>
      <c r="BH36" s="69">
        <v>93.01228994231252</v>
      </c>
      <c r="BI36" s="69">
        <v>47.148324249101243</v>
      </c>
      <c r="BK36" s="69">
        <f t="shared" si="12"/>
        <v>45.863965693211277</v>
      </c>
      <c r="BP36" s="70">
        <v>49.853499999999997</v>
      </c>
      <c r="BS36" s="70">
        <v>0.126</v>
      </c>
      <c r="BU36" s="70">
        <v>3.9499</v>
      </c>
      <c r="BV36" s="70">
        <v>27.262499999999999</v>
      </c>
      <c r="BW36" s="71">
        <v>85.422499999999999</v>
      </c>
      <c r="BY36" s="71">
        <v>48.751199999999997</v>
      </c>
      <c r="BZ36" s="71">
        <v>19.791499999999999</v>
      </c>
      <c r="CA36" s="71">
        <v>5.1239999999999997</v>
      </c>
      <c r="CB36" s="71">
        <v>28.189900000000002</v>
      </c>
      <c r="CC36" s="72"/>
      <c r="CD36" s="72"/>
      <c r="CE36" s="72"/>
      <c r="CF36" s="72"/>
      <c r="CG36" s="72"/>
      <c r="CH36" s="72"/>
      <c r="CI36" s="72"/>
      <c r="CJ36" s="72"/>
      <c r="CM36" s="69"/>
      <c r="CN36" s="69"/>
      <c r="CO36" s="69"/>
      <c r="CP36" s="69"/>
      <c r="CQ36" s="76"/>
      <c r="CR36" s="76"/>
      <c r="CS36" s="177"/>
      <c r="CT36" s="70"/>
      <c r="CU36" s="76"/>
      <c r="CV36" s="77"/>
      <c r="CW36" s="77"/>
      <c r="CX36" s="77"/>
      <c r="CY36" s="77"/>
      <c r="CZ36" s="77"/>
      <c r="DA36" s="66"/>
      <c r="DB36" s="66"/>
      <c r="DC36" s="66"/>
      <c r="DD36" s="66"/>
      <c r="DE36" s="66"/>
      <c r="DF36" s="66"/>
      <c r="DG36" s="66"/>
      <c r="DH36" s="66"/>
      <c r="DI36" s="168"/>
      <c r="DJ36" s="67"/>
      <c r="DK36" s="69"/>
      <c r="DL36" s="69"/>
      <c r="DM36" s="69"/>
      <c r="DN36" s="69"/>
      <c r="DO36" s="69"/>
      <c r="DP36" s="69"/>
      <c r="DQ36" s="69"/>
      <c r="DR36" s="69"/>
      <c r="DS36" s="70"/>
      <c r="DT36" s="70"/>
      <c r="DU36" s="70"/>
      <c r="DV36" s="177"/>
      <c r="DW36" s="177"/>
      <c r="DX36" s="70"/>
      <c r="DY36" s="70"/>
      <c r="DZ36" s="71"/>
      <c r="EA36" s="71"/>
      <c r="EB36" s="180"/>
      <c r="EC36" s="180"/>
      <c r="ED36" s="71"/>
      <c r="EE36" s="180"/>
      <c r="EF36" s="66"/>
      <c r="EG36" s="66"/>
      <c r="EH36" s="79"/>
      <c r="EI36" s="66"/>
      <c r="EJ36" s="79"/>
      <c r="EK36" s="66"/>
      <c r="EL36" s="168"/>
      <c r="EM36" s="67"/>
      <c r="EN36" s="78">
        <f t="shared" si="8"/>
        <v>37.188346883468824</v>
      </c>
      <c r="EO36" s="78">
        <f t="shared" si="9"/>
        <v>-55.841766329346832</v>
      </c>
      <c r="EP36" s="78">
        <f t="shared" si="10"/>
        <v>100</v>
      </c>
      <c r="EQ36" s="78">
        <f t="shared" si="11"/>
        <v>61.075261217123341</v>
      </c>
      <c r="ER36" s="79"/>
      <c r="ES36" s="66"/>
      <c r="ET36" s="66"/>
      <c r="EU36" s="66"/>
      <c r="EV36" s="79"/>
      <c r="EW36" s="66"/>
      <c r="EX36" s="66"/>
      <c r="EY36" s="66"/>
      <c r="EZ36" s="66"/>
      <c r="FA36" s="66"/>
      <c r="FB36" s="66"/>
    </row>
    <row r="37" spans="1:158" hidden="1" x14ac:dyDescent="0.3">
      <c r="A37" s="86">
        <v>44523</v>
      </c>
      <c r="B37" s="86"/>
      <c r="C37" s="69">
        <v>85.330408550000001</v>
      </c>
      <c r="D37" s="69">
        <v>64.672633070000003</v>
      </c>
      <c r="E37" s="69">
        <v>25.954785950000002</v>
      </c>
      <c r="F37" s="69">
        <f t="shared" si="0"/>
        <v>20.657775479999998</v>
      </c>
      <c r="K37" s="70">
        <v>51.818199999999997</v>
      </c>
      <c r="L37" s="70">
        <v>0</v>
      </c>
      <c r="N37" s="70">
        <v>0</v>
      </c>
      <c r="P37" s="70">
        <v>10.1602</v>
      </c>
      <c r="Q37" s="70">
        <v>19.898499999999999</v>
      </c>
      <c r="R37" s="71">
        <v>79.556899999999999</v>
      </c>
      <c r="T37" s="71">
        <v>47.686900000000001</v>
      </c>
      <c r="U37" s="71">
        <v>26.600100000000001</v>
      </c>
      <c r="V37" s="71">
        <v>4.6997999999999998</v>
      </c>
      <c r="W37" s="71">
        <v>25.179300000000001</v>
      </c>
      <c r="X37" s="72"/>
      <c r="Y37" s="73"/>
      <c r="Z37" s="73"/>
      <c r="AA37" s="72"/>
      <c r="AB37" s="72"/>
      <c r="AC37" s="72"/>
      <c r="AD37" s="72"/>
      <c r="AE37" s="72"/>
      <c r="AF37" s="72"/>
      <c r="AH37" s="74">
        <v>6.89</v>
      </c>
      <c r="AI37" s="87">
        <v>78.365780090000001</v>
      </c>
      <c r="AJ37" s="87">
        <v>69.477154970000001</v>
      </c>
      <c r="AK37" s="87">
        <v>24.76960077</v>
      </c>
      <c r="AL37" s="87">
        <f t="shared" si="7"/>
        <v>8.8886251200000004</v>
      </c>
      <c r="AM37" s="70">
        <v>53.989699999999999</v>
      </c>
      <c r="AN37" s="70">
        <v>0</v>
      </c>
      <c r="AO37" s="70">
        <v>0</v>
      </c>
      <c r="AP37" s="70">
        <v>11.1144</v>
      </c>
      <c r="AQ37" s="70">
        <v>7.5075000000000003</v>
      </c>
      <c r="AR37" s="71">
        <v>83.731499999999997</v>
      </c>
      <c r="AS37" s="71">
        <v>44.260199999999998</v>
      </c>
      <c r="AT37" s="71">
        <v>29.2639</v>
      </c>
      <c r="AU37" s="71">
        <v>4.9976000000000003</v>
      </c>
      <c r="AV37" s="71">
        <v>29.0548</v>
      </c>
      <c r="AW37" s="72"/>
      <c r="AX37" s="75"/>
      <c r="AY37" s="75"/>
      <c r="AZ37" s="75"/>
      <c r="BA37" s="75"/>
      <c r="BB37" s="72"/>
      <c r="BC37" s="72"/>
      <c r="BD37" s="72"/>
      <c r="BE37" s="72"/>
      <c r="BG37" s="74">
        <v>7.08</v>
      </c>
      <c r="BH37" s="69">
        <v>75.897998349999995</v>
      </c>
      <c r="BI37" s="69">
        <v>70.796043330000003</v>
      </c>
      <c r="BJ37" s="69">
        <v>26.189514190000001</v>
      </c>
      <c r="BK37" s="69">
        <f t="shared" si="12"/>
        <v>5.1019550199999912</v>
      </c>
      <c r="BP37" s="70">
        <v>54.741799999999998</v>
      </c>
      <c r="BQ37" s="70">
        <v>0</v>
      </c>
      <c r="BS37" s="70">
        <v>0</v>
      </c>
      <c r="BU37" s="70">
        <v>17.131699999999999</v>
      </c>
      <c r="BV37" s="70">
        <v>7.3994999999999997</v>
      </c>
      <c r="BW37" s="71">
        <v>90.371200000000002</v>
      </c>
      <c r="BY37" s="71">
        <v>46.344700000000003</v>
      </c>
      <c r="BZ37" s="71">
        <v>29.409500000000001</v>
      </c>
      <c r="CA37" s="71">
        <v>5.2687999999999997</v>
      </c>
      <c r="CB37" s="71">
        <v>29.988099999999999</v>
      </c>
      <c r="CC37" s="72"/>
      <c r="CD37" s="72"/>
      <c r="CE37" s="72"/>
      <c r="CF37" s="72"/>
      <c r="CG37" s="72"/>
      <c r="CH37" s="72"/>
      <c r="CI37" s="72"/>
      <c r="CJ37" s="72"/>
      <c r="CL37" s="74">
        <v>6.91</v>
      </c>
      <c r="CM37" s="69"/>
      <c r="CN37" s="69"/>
      <c r="CO37" s="69"/>
      <c r="CP37" s="69"/>
      <c r="CQ37" s="76"/>
      <c r="CR37" s="76"/>
      <c r="CS37" s="177"/>
      <c r="CT37" s="70"/>
      <c r="CU37" s="76"/>
      <c r="CV37" s="77"/>
      <c r="CW37" s="77"/>
      <c r="CX37" s="77"/>
      <c r="CY37" s="77"/>
      <c r="CZ37" s="77"/>
      <c r="DA37" s="66"/>
      <c r="DB37" s="66"/>
      <c r="DC37" s="66"/>
      <c r="DD37" s="66"/>
      <c r="DE37" s="66"/>
      <c r="DF37" s="66"/>
      <c r="DG37" s="66"/>
      <c r="DH37" s="66"/>
      <c r="DI37" s="168"/>
      <c r="DJ37" s="67"/>
      <c r="DK37" s="69"/>
      <c r="DL37" s="69"/>
      <c r="DM37" s="69"/>
      <c r="DN37" s="69"/>
      <c r="DO37" s="69"/>
      <c r="DP37" s="69"/>
      <c r="DQ37" s="69"/>
      <c r="DR37" s="69"/>
      <c r="DS37" s="70"/>
      <c r="DT37" s="70"/>
      <c r="DU37" s="70"/>
      <c r="DV37" s="177"/>
      <c r="DW37" s="177"/>
      <c r="DX37" s="70"/>
      <c r="DY37" s="70"/>
      <c r="DZ37" s="71"/>
      <c r="EA37" s="71"/>
      <c r="EB37" s="180"/>
      <c r="EC37" s="180"/>
      <c r="ED37" s="71"/>
      <c r="EE37" s="180"/>
      <c r="EF37" s="66"/>
      <c r="EG37" s="66"/>
      <c r="EH37" s="79"/>
      <c r="EI37" s="66"/>
      <c r="EJ37" s="79"/>
      <c r="EK37" s="66"/>
      <c r="EL37" s="168"/>
      <c r="EM37" s="67"/>
      <c r="EN37" s="78">
        <f t="shared" si="8"/>
        <v>11.053984576287379</v>
      </c>
      <c r="EO37" s="78">
        <f t="shared" si="9"/>
        <v>-9.4683175391547358</v>
      </c>
      <c r="EP37" s="78">
        <f t="shared" si="10"/>
        <v>-0.9043736305596406</v>
      </c>
      <c r="EQ37" s="78">
        <f t="shared" si="11"/>
        <v>75.30249554246781</v>
      </c>
      <c r="ER37" s="79"/>
      <c r="ES37" s="66"/>
      <c r="ET37" s="66"/>
      <c r="EU37" s="66"/>
      <c r="EV37" s="79"/>
      <c r="EW37" s="66"/>
      <c r="EX37" s="66"/>
      <c r="EY37" s="66"/>
      <c r="EZ37" s="66"/>
      <c r="FA37" s="66"/>
      <c r="FB37" s="66"/>
    </row>
    <row r="38" spans="1:158" hidden="1" x14ac:dyDescent="0.3">
      <c r="A38" s="86">
        <v>44525</v>
      </c>
      <c r="B38" s="86"/>
      <c r="C38" s="69">
        <v>77.433506989999998</v>
      </c>
      <c r="D38" s="69">
        <v>66.321243519999996</v>
      </c>
      <c r="E38" s="69">
        <v>24.053872049999999</v>
      </c>
      <c r="F38" s="69">
        <f t="shared" si="0"/>
        <v>11.112263470000002</v>
      </c>
      <c r="K38" s="70">
        <v>64.010400000000004</v>
      </c>
      <c r="L38" s="70">
        <v>0</v>
      </c>
      <c r="N38" s="70">
        <v>0</v>
      </c>
      <c r="P38" s="70">
        <v>1.4452</v>
      </c>
      <c r="Q38" s="70">
        <v>20.0318</v>
      </c>
      <c r="R38" s="71">
        <v>76.705200000000005</v>
      </c>
      <c r="T38" s="71">
        <v>52.003599999999999</v>
      </c>
      <c r="U38" s="71">
        <v>32.943800000000003</v>
      </c>
      <c r="V38" s="71">
        <v>4.6402000000000001</v>
      </c>
      <c r="W38" s="71">
        <v>25.089200000000002</v>
      </c>
      <c r="X38" s="72"/>
      <c r="Y38" s="73"/>
      <c r="Z38" s="73"/>
      <c r="AA38" s="72"/>
      <c r="AB38" s="72"/>
      <c r="AC38" s="72"/>
      <c r="AD38" s="72"/>
      <c r="AE38" s="72"/>
      <c r="AF38" s="72"/>
      <c r="AH38" s="74">
        <v>6.97</v>
      </c>
      <c r="AI38" s="87">
        <v>83.90457911</v>
      </c>
      <c r="AJ38" s="87">
        <v>61.328308999999997</v>
      </c>
      <c r="AK38" s="87">
        <v>24.257816259999998</v>
      </c>
      <c r="AL38" s="87">
        <f t="shared" si="7"/>
        <v>22.576270110000003</v>
      </c>
      <c r="AM38" s="70">
        <v>56.359000000000002</v>
      </c>
      <c r="AN38" s="70">
        <v>0</v>
      </c>
      <c r="AO38" s="70">
        <v>0</v>
      </c>
      <c r="AP38" s="70">
        <v>11.3004</v>
      </c>
      <c r="AQ38" s="70">
        <v>4.5270000000000001</v>
      </c>
      <c r="AR38" s="71">
        <v>76.732799999999997</v>
      </c>
      <c r="AS38" s="71">
        <v>47.594099999999997</v>
      </c>
      <c r="AT38" s="71">
        <v>28.180800000000001</v>
      </c>
      <c r="AU38" s="71">
        <v>4.9040999999999997</v>
      </c>
      <c r="AV38" s="71">
        <v>27.7255</v>
      </c>
      <c r="AW38" s="72"/>
      <c r="AX38" s="75"/>
      <c r="AY38" s="75"/>
      <c r="AZ38" s="75"/>
      <c r="BA38" s="75"/>
      <c r="BB38" s="72"/>
      <c r="BC38" s="72"/>
      <c r="BD38" s="72"/>
      <c r="BE38" s="72"/>
      <c r="BG38" s="74">
        <v>6.95</v>
      </c>
      <c r="BH38" s="69">
        <v>82.478749660000005</v>
      </c>
      <c r="BI38" s="69">
        <v>63.400847859999999</v>
      </c>
      <c r="BJ38" s="69">
        <v>24.831168829999999</v>
      </c>
      <c r="BK38" s="69">
        <f t="shared" si="12"/>
        <v>19.077901800000006</v>
      </c>
      <c r="BP38" s="70">
        <v>55.247799999999998</v>
      </c>
      <c r="BQ38" s="70">
        <v>0</v>
      </c>
      <c r="BS38" s="70">
        <v>0</v>
      </c>
      <c r="BU38" s="70">
        <v>10.6065</v>
      </c>
      <c r="BV38" s="70">
        <v>5.4382000000000001</v>
      </c>
      <c r="BW38" s="71">
        <v>74.406300000000002</v>
      </c>
      <c r="BY38" s="71">
        <v>47.461100000000002</v>
      </c>
      <c r="BZ38" s="71">
        <v>26.646000000000001</v>
      </c>
      <c r="CA38" s="71">
        <v>4.8807999999999998</v>
      </c>
      <c r="CB38" s="71">
        <v>28.046299999999999</v>
      </c>
      <c r="CC38" s="72"/>
      <c r="CD38" s="72"/>
      <c r="CE38" s="72"/>
      <c r="CF38" s="72"/>
      <c r="CG38" s="72"/>
      <c r="CH38" s="72"/>
      <c r="CI38" s="72"/>
      <c r="CJ38" s="72"/>
      <c r="CL38" s="74">
        <v>6.8</v>
      </c>
      <c r="CM38" s="69"/>
      <c r="CN38" s="69"/>
      <c r="CO38" s="69"/>
      <c r="CP38" s="69"/>
      <c r="CQ38" s="76"/>
      <c r="CR38" s="76"/>
      <c r="CS38" s="177"/>
      <c r="CT38" s="70"/>
      <c r="CU38" s="76"/>
      <c r="CV38" s="77"/>
      <c r="CW38" s="77"/>
      <c r="CX38" s="77"/>
      <c r="CY38" s="77"/>
      <c r="CZ38" s="77"/>
      <c r="DA38" s="66"/>
      <c r="DB38" s="66"/>
      <c r="DC38" s="66"/>
      <c r="DD38" s="66"/>
      <c r="DE38" s="66"/>
      <c r="DF38" s="66"/>
      <c r="DG38" s="66"/>
      <c r="DH38" s="66"/>
      <c r="DI38" s="168"/>
      <c r="DJ38" s="67"/>
      <c r="DK38" s="69"/>
      <c r="DL38" s="69"/>
      <c r="DM38" s="69"/>
      <c r="DN38" s="69"/>
      <c r="DO38" s="69"/>
      <c r="DP38" s="69"/>
      <c r="DQ38" s="69"/>
      <c r="DR38" s="69"/>
      <c r="DS38" s="70"/>
      <c r="DT38" s="70"/>
      <c r="DU38" s="70"/>
      <c r="DV38" s="177"/>
      <c r="DW38" s="177"/>
      <c r="DX38" s="70"/>
      <c r="DY38" s="70"/>
      <c r="DZ38" s="71"/>
      <c r="EA38" s="71"/>
      <c r="EB38" s="180"/>
      <c r="EC38" s="180"/>
      <c r="ED38" s="71"/>
      <c r="EE38" s="180"/>
      <c r="EF38" s="66"/>
      <c r="EG38" s="66"/>
      <c r="EH38" s="79"/>
      <c r="EI38" s="66"/>
      <c r="EJ38" s="79"/>
      <c r="EK38" s="66"/>
      <c r="EL38" s="168"/>
      <c r="EM38" s="67"/>
      <c r="EN38" s="78">
        <f t="shared" si="8"/>
        <v>-6.5155807429096102</v>
      </c>
      <c r="EO38" s="78">
        <f t="shared" si="9"/>
        <v>4.4034090813139137</v>
      </c>
      <c r="EP38" s="78">
        <f t="shared" si="10"/>
        <v>-3.2314829744843454</v>
      </c>
      <c r="EQ38" s="78">
        <f t="shared" si="11"/>
        <v>-71.683310528993459</v>
      </c>
      <c r="ER38" s="79"/>
      <c r="ES38" s="66"/>
      <c r="ET38" s="66"/>
      <c r="EU38" s="66"/>
      <c r="EV38" s="79"/>
      <c r="EW38" s="66"/>
      <c r="EX38" s="66"/>
      <c r="EY38" s="66"/>
      <c r="EZ38" s="66"/>
      <c r="FA38" s="66"/>
      <c r="FB38" s="66"/>
    </row>
    <row r="39" spans="1:158" hidden="1" x14ac:dyDescent="0.3">
      <c r="A39" s="86">
        <v>44529</v>
      </c>
      <c r="B39" s="86"/>
      <c r="C39" s="69">
        <v>115.6018645</v>
      </c>
      <c r="D39" s="69">
        <v>52.991050399999999</v>
      </c>
      <c r="E39" s="69">
        <v>27.224627219999999</v>
      </c>
      <c r="F39" s="69">
        <f t="shared" si="0"/>
        <v>62.610814100000006</v>
      </c>
      <c r="K39" s="70">
        <v>62.484699999999997</v>
      </c>
      <c r="L39" s="70">
        <v>0</v>
      </c>
      <c r="N39" s="70">
        <v>0</v>
      </c>
      <c r="P39" s="70">
        <v>9.9579000000000004</v>
      </c>
      <c r="Q39" s="70">
        <v>23.493400000000001</v>
      </c>
      <c r="R39" s="71">
        <v>86.432500000000005</v>
      </c>
      <c r="T39" s="71">
        <v>52.512099999999997</v>
      </c>
      <c r="U39" s="71">
        <v>30.980699999999999</v>
      </c>
      <c r="V39" s="71">
        <v>5.0763999999999996</v>
      </c>
      <c r="W39" s="71">
        <v>26.000499999999999</v>
      </c>
      <c r="X39" s="72"/>
      <c r="Y39" s="73"/>
      <c r="Z39" s="73"/>
      <c r="AA39" s="72"/>
      <c r="AB39" s="72"/>
      <c r="AC39" s="72"/>
      <c r="AD39" s="72"/>
      <c r="AE39" s="72"/>
      <c r="AF39" s="72"/>
      <c r="AH39" s="74">
        <v>7.14</v>
      </c>
      <c r="AI39" s="87">
        <v>129.20208389999999</v>
      </c>
      <c r="AJ39" s="87">
        <v>40.617051340000003</v>
      </c>
      <c r="AK39" s="87">
        <v>24.296296300000002</v>
      </c>
      <c r="AL39" s="87">
        <f t="shared" si="7"/>
        <v>88.585032559999988</v>
      </c>
      <c r="AM39" s="70">
        <v>56.643799999999999</v>
      </c>
      <c r="AN39" s="70">
        <v>0</v>
      </c>
      <c r="AO39" s="70">
        <v>0</v>
      </c>
      <c r="AP39" s="70">
        <v>15.276899999999999</v>
      </c>
      <c r="AQ39" s="70">
        <v>5.7283999999999997</v>
      </c>
      <c r="AR39" s="71">
        <v>79.978300000000004</v>
      </c>
      <c r="AS39" s="71">
        <v>46.0974</v>
      </c>
      <c r="AT39" s="71">
        <v>28.1204</v>
      </c>
      <c r="AU39" s="71">
        <v>4.9978999999999996</v>
      </c>
      <c r="AV39" s="71">
        <v>28.382200000000001</v>
      </c>
      <c r="AW39" s="72"/>
      <c r="AX39" s="75"/>
      <c r="AY39" s="75"/>
      <c r="AZ39" s="75"/>
      <c r="BA39" s="75"/>
      <c r="BB39" s="72"/>
      <c r="BC39" s="72"/>
      <c r="BD39" s="72"/>
      <c r="BE39" s="72"/>
      <c r="BG39" s="74">
        <v>6.78</v>
      </c>
      <c r="BH39" s="69">
        <v>108.25335889999999</v>
      </c>
      <c r="BI39" s="69">
        <v>49.88224211</v>
      </c>
      <c r="BJ39" s="69">
        <v>24.973544969999999</v>
      </c>
      <c r="BK39" s="69">
        <f t="shared" si="12"/>
        <v>58.371116789999995</v>
      </c>
      <c r="BP39" s="70">
        <v>55.421500000000002</v>
      </c>
      <c r="BQ39" s="70">
        <v>0</v>
      </c>
      <c r="BS39" s="70">
        <v>0.1154</v>
      </c>
      <c r="BU39" s="70">
        <v>15.582599999999999</v>
      </c>
      <c r="BV39" s="70">
        <v>2.4693000000000001</v>
      </c>
      <c r="BW39" s="71">
        <v>81.716999999999999</v>
      </c>
      <c r="BY39" s="71">
        <v>45.500900000000001</v>
      </c>
      <c r="BZ39" s="71">
        <v>26.2775</v>
      </c>
      <c r="CA39" s="71">
        <v>4.9253</v>
      </c>
      <c r="CB39" s="71">
        <v>27.026599999999998</v>
      </c>
      <c r="CC39" s="72"/>
      <c r="CD39" s="72"/>
      <c r="CE39" s="72"/>
      <c r="CF39" s="72"/>
      <c r="CG39" s="72"/>
      <c r="CH39" s="72"/>
      <c r="CI39" s="72"/>
      <c r="CJ39" s="72"/>
      <c r="CL39" s="74">
        <v>6.83</v>
      </c>
      <c r="CM39" s="69"/>
      <c r="CN39" s="69"/>
      <c r="CO39" s="69"/>
      <c r="CP39" s="69"/>
      <c r="CQ39" s="76"/>
      <c r="CR39" s="76"/>
      <c r="CS39" s="177"/>
      <c r="CT39" s="70"/>
      <c r="CU39" s="76"/>
      <c r="CV39" s="77"/>
      <c r="CW39" s="77"/>
      <c r="CX39" s="77"/>
      <c r="CY39" s="77"/>
      <c r="CZ39" s="77"/>
      <c r="DA39" s="66"/>
      <c r="DB39" s="66"/>
      <c r="DC39" s="66"/>
      <c r="DD39" s="66"/>
      <c r="DE39" s="66"/>
      <c r="DF39" s="66"/>
      <c r="DG39" s="66"/>
      <c r="DH39" s="66"/>
      <c r="DI39" s="168"/>
      <c r="DJ39" s="67"/>
      <c r="DK39" s="69"/>
      <c r="DL39" s="69"/>
      <c r="DM39" s="69"/>
      <c r="DN39" s="69"/>
      <c r="DO39" s="69"/>
      <c r="DP39" s="69"/>
      <c r="DQ39" s="69"/>
      <c r="DR39" s="69"/>
      <c r="DS39" s="70"/>
      <c r="DT39" s="70"/>
      <c r="DU39" s="70"/>
      <c r="DV39" s="177"/>
      <c r="DW39" s="177"/>
      <c r="DX39" s="70"/>
      <c r="DY39" s="70"/>
      <c r="DZ39" s="71"/>
      <c r="EA39" s="71"/>
      <c r="EB39" s="180"/>
      <c r="EC39" s="180"/>
      <c r="ED39" s="71"/>
      <c r="EE39" s="180"/>
      <c r="EF39" s="66"/>
      <c r="EG39" s="66"/>
      <c r="EH39" s="79"/>
      <c r="EI39" s="66"/>
      <c r="EJ39" s="79"/>
      <c r="EK39" s="66"/>
      <c r="EL39" s="168"/>
      <c r="EM39" s="67"/>
      <c r="EN39" s="78">
        <f t="shared" si="8"/>
        <v>6.3567362272085255</v>
      </c>
      <c r="EO39" s="78">
        <f t="shared" si="9"/>
        <v>5.8666666664150551</v>
      </c>
      <c r="EP39" s="78">
        <f t="shared" si="10"/>
        <v>8.2685512341792116</v>
      </c>
      <c r="EQ39" s="78">
        <f t="shared" si="11"/>
        <v>6.7715096360646321</v>
      </c>
      <c r="ER39" s="79"/>
      <c r="ES39" s="66"/>
      <c r="ET39" s="66"/>
      <c r="EU39" s="66"/>
      <c r="EV39" s="79"/>
      <c r="EW39" s="66"/>
      <c r="EX39" s="66"/>
      <c r="EY39" s="66"/>
      <c r="EZ39" s="66"/>
      <c r="FA39" s="66"/>
      <c r="FB39" s="66"/>
    </row>
    <row r="40" spans="1:158" hidden="1" x14ac:dyDescent="0.3">
      <c r="A40" s="86">
        <v>44531</v>
      </c>
      <c r="B40" s="86"/>
      <c r="C40" s="69">
        <v>117.301892</v>
      </c>
      <c r="D40" s="69">
        <v>51.154027319999997</v>
      </c>
      <c r="E40" s="69">
        <v>26.832130830000001</v>
      </c>
      <c r="F40" s="69">
        <f t="shared" si="0"/>
        <v>66.147864679999998</v>
      </c>
      <c r="K40" s="70">
        <v>61.697800000000001</v>
      </c>
      <c r="L40" s="70">
        <v>0</v>
      </c>
      <c r="N40" s="70">
        <v>0</v>
      </c>
      <c r="P40" s="70">
        <v>9.4929000000000006</v>
      </c>
      <c r="Q40" s="70">
        <v>27.153300000000002</v>
      </c>
      <c r="R40" s="71">
        <v>84.699200000000005</v>
      </c>
      <c r="T40" s="71">
        <v>52.354700000000001</v>
      </c>
      <c r="U40" s="71">
        <v>29.7485</v>
      </c>
      <c r="V40" s="71">
        <v>5.0033000000000003</v>
      </c>
      <c r="W40" s="71">
        <v>26.263500000000001</v>
      </c>
      <c r="X40" s="72"/>
      <c r="Y40" s="73"/>
      <c r="Z40" s="73"/>
      <c r="AA40" s="72"/>
      <c r="AB40" s="72"/>
      <c r="AC40" s="72"/>
      <c r="AD40" s="72"/>
      <c r="AE40" s="72"/>
      <c r="AF40" s="72"/>
      <c r="AH40" s="74">
        <v>7.01</v>
      </c>
      <c r="AI40" s="87">
        <v>169.28982730000001</v>
      </c>
      <c r="AJ40" s="87">
        <v>28.949599620000001</v>
      </c>
      <c r="AK40" s="87">
        <v>27.898027899999999</v>
      </c>
      <c r="AL40" s="87">
        <f t="shared" si="7"/>
        <v>140.34022768</v>
      </c>
      <c r="AM40" s="70">
        <v>56.425899999999999</v>
      </c>
      <c r="AN40" s="70">
        <v>0</v>
      </c>
      <c r="AO40" s="70">
        <v>0</v>
      </c>
      <c r="AP40" s="70">
        <v>17.4316</v>
      </c>
      <c r="AQ40" s="70">
        <v>3.0693000000000001</v>
      </c>
      <c r="AR40" s="71">
        <v>91.917100000000005</v>
      </c>
      <c r="AS40" s="71">
        <v>46.1083</v>
      </c>
      <c r="AT40" s="71">
        <v>26.935600000000001</v>
      </c>
      <c r="AU40" s="71">
        <v>5.2915000000000001</v>
      </c>
      <c r="AV40" s="71">
        <v>29.4876</v>
      </c>
      <c r="AW40" s="72"/>
      <c r="AX40" s="75"/>
      <c r="AY40" s="75"/>
      <c r="AZ40" s="75"/>
      <c r="BA40" s="75"/>
      <c r="BB40" s="72"/>
      <c r="BC40" s="72"/>
      <c r="BD40" s="72"/>
      <c r="BE40" s="72"/>
      <c r="BG40" s="74">
        <v>6.52</v>
      </c>
      <c r="BH40" s="69">
        <v>176.8576913</v>
      </c>
      <c r="BI40" s="69">
        <v>26.811116340000002</v>
      </c>
      <c r="BJ40" s="69">
        <v>28.806156810000001</v>
      </c>
      <c r="BK40" s="69">
        <f t="shared" si="12"/>
        <v>150.04657495999999</v>
      </c>
      <c r="BP40" s="70">
        <v>55.878399999999999</v>
      </c>
      <c r="BQ40" s="70">
        <v>0</v>
      </c>
      <c r="BS40" s="70">
        <v>0</v>
      </c>
      <c r="BU40" s="70">
        <v>14.820499999999999</v>
      </c>
      <c r="BV40" s="70">
        <v>7.0777000000000001</v>
      </c>
      <c r="BW40" s="71">
        <v>94.822100000000006</v>
      </c>
      <c r="BY40" s="71">
        <v>45.718400000000003</v>
      </c>
      <c r="BZ40" s="71">
        <v>26.1782</v>
      </c>
      <c r="CA40" s="71">
        <v>5.4565999999999999</v>
      </c>
      <c r="CB40" s="71">
        <v>30.897500000000001</v>
      </c>
      <c r="CC40" s="72"/>
      <c r="CD40" s="72"/>
      <c r="CE40" s="72"/>
      <c r="CF40" s="72"/>
      <c r="CG40" s="72"/>
      <c r="CH40" s="72"/>
      <c r="CI40" s="72"/>
      <c r="CJ40" s="72"/>
      <c r="CL40" s="74">
        <v>6.33</v>
      </c>
      <c r="CM40" s="69"/>
      <c r="CN40" s="69"/>
      <c r="CO40" s="69"/>
      <c r="CP40" s="69"/>
      <c r="CQ40" s="76"/>
      <c r="CR40" s="76"/>
      <c r="CS40" s="177"/>
      <c r="CT40" s="70"/>
      <c r="CU40" s="76"/>
      <c r="CV40" s="77"/>
      <c r="CW40" s="77"/>
      <c r="CX40" s="77"/>
      <c r="CY40" s="77"/>
      <c r="CZ40" s="77"/>
      <c r="DA40" s="66"/>
      <c r="DB40" s="66"/>
      <c r="DC40" s="66"/>
      <c r="DD40" s="66"/>
      <c r="DE40" s="66"/>
      <c r="DF40" s="66"/>
      <c r="DG40" s="66"/>
      <c r="DH40" s="66"/>
      <c r="DI40" s="168"/>
      <c r="DJ40" s="67"/>
      <c r="DK40" s="69"/>
      <c r="DL40" s="69"/>
      <c r="DM40" s="69"/>
      <c r="DN40" s="69"/>
      <c r="DO40" s="69"/>
      <c r="DP40" s="69"/>
      <c r="DQ40" s="69"/>
      <c r="DR40" s="69"/>
      <c r="DS40" s="70"/>
      <c r="DT40" s="70"/>
      <c r="DU40" s="70"/>
      <c r="DV40" s="177"/>
      <c r="DW40" s="177"/>
      <c r="DX40" s="70"/>
      <c r="DY40" s="70"/>
      <c r="DZ40" s="71"/>
      <c r="EA40" s="71"/>
      <c r="EB40" s="180"/>
      <c r="EC40" s="180"/>
      <c r="ED40" s="71"/>
      <c r="EE40" s="180"/>
      <c r="EF40" s="66"/>
      <c r="EG40" s="66"/>
      <c r="EH40" s="79"/>
      <c r="EI40" s="66"/>
      <c r="EJ40" s="79"/>
      <c r="EK40" s="66"/>
      <c r="EL40" s="168"/>
      <c r="EM40" s="67"/>
      <c r="EN40" s="78">
        <f t="shared" si="8"/>
        <v>-50.77138849559222</v>
      </c>
      <c r="EO40" s="78">
        <f t="shared" si="9"/>
        <v>47.587476989289755</v>
      </c>
      <c r="EP40" s="78">
        <f t="shared" si="10"/>
        <v>-7.356948251731521</v>
      </c>
      <c r="EQ40" s="78">
        <f t="shared" si="11"/>
        <v>-126.83509994747722</v>
      </c>
      <c r="ER40" s="79"/>
      <c r="ES40" s="66"/>
      <c r="ET40" s="66"/>
      <c r="EU40" s="66"/>
      <c r="EV40" s="79"/>
      <c r="EW40" s="66"/>
      <c r="EX40" s="66"/>
      <c r="EY40" s="66"/>
      <c r="EZ40" s="66"/>
      <c r="FA40" s="66"/>
      <c r="FB40" s="66"/>
    </row>
    <row r="41" spans="1:158" hidden="1" x14ac:dyDescent="0.3">
      <c r="A41" s="86">
        <v>44537</v>
      </c>
      <c r="B41" s="86"/>
      <c r="C41" s="69">
        <v>194.24184260000001</v>
      </c>
      <c r="D41" s="69">
        <v>54.451248229999997</v>
      </c>
      <c r="E41" s="69">
        <v>30.43771044</v>
      </c>
      <c r="F41" s="69">
        <f t="shared" si="0"/>
        <v>139.79059437000001</v>
      </c>
      <c r="K41" s="70">
        <v>62.624899999999997</v>
      </c>
      <c r="L41" s="70">
        <v>0</v>
      </c>
      <c r="N41" s="70">
        <v>0.31950000000000001</v>
      </c>
      <c r="P41" s="70">
        <v>13.333399999999999</v>
      </c>
      <c r="Q41" s="70">
        <v>31.337199999999999</v>
      </c>
      <c r="R41" s="71">
        <v>94.464799999999997</v>
      </c>
      <c r="T41" s="71">
        <v>53.012</v>
      </c>
      <c r="U41" s="71">
        <v>30.912199999999999</v>
      </c>
      <c r="V41" s="71">
        <v>5.4455</v>
      </c>
      <c r="W41" s="71">
        <v>25.024899999999999</v>
      </c>
      <c r="X41" s="72"/>
      <c r="Y41" s="73"/>
      <c r="Z41" s="73"/>
      <c r="AA41" s="72"/>
      <c r="AB41" s="72"/>
      <c r="AC41" s="72"/>
      <c r="AD41" s="72"/>
      <c r="AE41" s="72"/>
      <c r="AF41" s="72"/>
      <c r="AH41" s="74">
        <v>7.47</v>
      </c>
      <c r="AI41" s="87">
        <v>255.88154650000001</v>
      </c>
      <c r="AJ41" s="87">
        <v>21.38012247</v>
      </c>
      <c r="AK41" s="87">
        <v>31.96151996</v>
      </c>
      <c r="AL41" s="87">
        <f t="shared" si="7"/>
        <v>234.50142403000001</v>
      </c>
      <c r="AM41" s="70">
        <v>55.534500000000001</v>
      </c>
      <c r="AN41" s="70">
        <v>0</v>
      </c>
      <c r="AO41" s="70">
        <v>0</v>
      </c>
      <c r="AP41" s="70">
        <v>27.6051</v>
      </c>
      <c r="AQ41" s="70">
        <v>1.6557999999999999</v>
      </c>
      <c r="AR41" s="71">
        <v>108.0274</v>
      </c>
      <c r="AS41" s="71">
        <v>46.025700000000001</v>
      </c>
      <c r="AT41" s="71">
        <v>37.656999999999996</v>
      </c>
      <c r="AU41" s="71">
        <v>6.4954999999999998</v>
      </c>
      <c r="AV41" s="71">
        <v>39.424199999999999</v>
      </c>
      <c r="AW41" s="72"/>
      <c r="AX41" s="75"/>
      <c r="AY41" s="75"/>
      <c r="AZ41" s="75"/>
      <c r="BA41" s="75"/>
      <c r="BB41" s="72"/>
      <c r="BC41" s="72"/>
      <c r="BD41" s="72"/>
      <c r="BE41" s="72"/>
      <c r="BG41" s="74">
        <v>6.08</v>
      </c>
      <c r="BH41" s="69">
        <v>248.97175759999999</v>
      </c>
      <c r="BI41" s="69">
        <v>21.125765430000001</v>
      </c>
      <c r="BJ41" s="69">
        <v>32.188552190000003</v>
      </c>
      <c r="BK41" s="69">
        <f t="shared" si="12"/>
        <v>227.84599216999999</v>
      </c>
      <c r="BP41" s="70">
        <v>53.551600000000001</v>
      </c>
      <c r="BQ41" s="70">
        <v>0</v>
      </c>
      <c r="BS41" s="70">
        <v>7.5899999999999995E-2</v>
      </c>
      <c r="BU41" s="70">
        <v>25.904800000000002</v>
      </c>
      <c r="BV41" s="70">
        <v>1.9932000000000001</v>
      </c>
      <c r="BW41" s="71">
        <v>105.60769999999999</v>
      </c>
      <c r="BY41" s="71">
        <v>44.933</v>
      </c>
      <c r="BZ41" s="71">
        <v>35.292200000000001</v>
      </c>
      <c r="CA41" s="71">
        <v>6.3597999999999999</v>
      </c>
      <c r="CB41" s="71">
        <v>38.645200000000003</v>
      </c>
      <c r="CC41" s="72"/>
      <c r="CD41" s="72"/>
      <c r="CE41" s="72"/>
      <c r="CF41" s="72"/>
      <c r="CG41" s="72"/>
      <c r="CH41" s="72"/>
      <c r="CI41" s="72"/>
      <c r="CJ41" s="72"/>
      <c r="CL41" s="74">
        <v>6.1</v>
      </c>
      <c r="CM41" s="69"/>
      <c r="CN41" s="69"/>
      <c r="CO41" s="69"/>
      <c r="CP41" s="69"/>
      <c r="CQ41" s="76"/>
      <c r="CR41" s="76"/>
      <c r="CS41" s="177"/>
      <c r="CT41" s="70"/>
      <c r="CU41" s="76"/>
      <c r="CV41" s="77"/>
      <c r="CW41" s="77"/>
      <c r="CX41" s="77"/>
      <c r="CY41" s="77"/>
      <c r="CZ41" s="77"/>
      <c r="DA41" s="66"/>
      <c r="DB41" s="66"/>
      <c r="DC41" s="66"/>
      <c r="DD41" s="66"/>
      <c r="DE41" s="66"/>
      <c r="DF41" s="66"/>
      <c r="DG41" s="66"/>
      <c r="DH41" s="66"/>
      <c r="DI41" s="168"/>
      <c r="DJ41" s="67"/>
      <c r="DK41" s="69"/>
      <c r="DL41" s="69"/>
      <c r="DM41" s="69"/>
      <c r="DN41" s="69"/>
      <c r="DO41" s="69"/>
      <c r="DP41" s="69"/>
      <c r="DQ41" s="69"/>
      <c r="DR41" s="69"/>
      <c r="DS41" s="70"/>
      <c r="DT41" s="70"/>
      <c r="DU41" s="70"/>
      <c r="DV41" s="177"/>
      <c r="DW41" s="177"/>
      <c r="DX41" s="70"/>
      <c r="DY41" s="70"/>
      <c r="DZ41" s="71"/>
      <c r="EA41" s="71"/>
      <c r="EB41" s="180"/>
      <c r="EC41" s="180"/>
      <c r="ED41" s="71"/>
      <c r="EE41" s="180"/>
      <c r="EF41" s="66"/>
      <c r="EG41" s="66"/>
      <c r="EH41" s="79"/>
      <c r="EI41" s="66"/>
      <c r="EJ41" s="79"/>
      <c r="EK41" s="66"/>
      <c r="EL41" s="168"/>
      <c r="EM41" s="67"/>
      <c r="EN41" s="78">
        <f t="shared" si="8"/>
        <v>-28.176171656641792</v>
      </c>
      <c r="EO41" s="78">
        <f t="shared" si="9"/>
        <v>61.202422135915825</v>
      </c>
      <c r="EP41" s="78">
        <f t="shared" si="10"/>
        <v>-5.752212386182376</v>
      </c>
      <c r="EQ41" s="78">
        <f t="shared" si="11"/>
        <v>-62.990931683810956</v>
      </c>
      <c r="ER41" s="79"/>
      <c r="ES41" s="66"/>
      <c r="ET41" s="66"/>
      <c r="EU41" s="66"/>
      <c r="EV41" s="79"/>
      <c r="EW41" s="66"/>
      <c r="EX41" s="66"/>
      <c r="EY41" s="66"/>
      <c r="EZ41" s="66"/>
      <c r="FA41" s="66"/>
      <c r="FB41" s="66"/>
    </row>
    <row r="42" spans="1:158" hidden="1" x14ac:dyDescent="0.3">
      <c r="A42" s="86">
        <v>44539</v>
      </c>
      <c r="B42" s="86"/>
      <c r="C42" s="69">
        <v>162.03</v>
      </c>
      <c r="D42" s="69">
        <v>56.02</v>
      </c>
      <c r="E42" s="69">
        <v>32.51</v>
      </c>
      <c r="F42" s="69">
        <f t="shared" si="0"/>
        <v>106.00999999999999</v>
      </c>
      <c r="K42" s="70">
        <v>46.817</v>
      </c>
      <c r="P42" s="70">
        <v>10.36</v>
      </c>
      <c r="Q42" s="70">
        <v>30.303999999999998</v>
      </c>
      <c r="R42" s="71">
        <v>90.103700000000003</v>
      </c>
      <c r="T42" s="71">
        <v>42.165599999999998</v>
      </c>
      <c r="U42" s="71">
        <v>16.889299999999999</v>
      </c>
      <c r="V42" s="71">
        <v>4.0754999999999999</v>
      </c>
      <c r="W42" s="71">
        <v>24.215800000000002</v>
      </c>
      <c r="X42" s="72"/>
      <c r="Y42" s="73"/>
      <c r="Z42" s="73"/>
      <c r="AA42" s="72"/>
      <c r="AB42" s="72"/>
      <c r="AC42" s="72"/>
      <c r="AD42" s="72"/>
      <c r="AE42" s="72"/>
      <c r="AF42" s="72"/>
      <c r="AH42" s="74">
        <v>6.76</v>
      </c>
      <c r="AI42" s="87">
        <v>148.69999999999999</v>
      </c>
      <c r="AJ42" s="87">
        <v>47.28</v>
      </c>
      <c r="AK42" s="87">
        <v>19.59</v>
      </c>
      <c r="AL42" s="87">
        <f t="shared" si="7"/>
        <v>101.41999999999999</v>
      </c>
      <c r="AM42" s="70">
        <v>50.793999999999997</v>
      </c>
      <c r="AO42" s="70">
        <v>0.13</v>
      </c>
      <c r="AP42" s="70">
        <v>16.4589</v>
      </c>
      <c r="AQ42" s="70">
        <v>7.3266999999999998</v>
      </c>
      <c r="AR42" s="71">
        <v>85.032899999999998</v>
      </c>
      <c r="AS42" s="71">
        <v>46.283700000000003</v>
      </c>
      <c r="AT42" s="71">
        <v>17.5852</v>
      </c>
      <c r="AU42" s="71">
        <v>3.9582000000000002</v>
      </c>
      <c r="AV42" s="71">
        <v>24.806799999999999</v>
      </c>
      <c r="AW42" s="72"/>
      <c r="AX42" s="75"/>
      <c r="AY42" s="75"/>
      <c r="AZ42" s="75"/>
      <c r="BA42" s="75"/>
      <c r="BB42" s="72"/>
      <c r="BC42" s="72"/>
      <c r="BD42" s="72"/>
      <c r="BE42" s="72"/>
      <c r="BG42" s="74">
        <v>6.51</v>
      </c>
      <c r="BH42" s="88">
        <v>131.63999999999999</v>
      </c>
      <c r="BI42" s="88">
        <v>48.32</v>
      </c>
      <c r="BJ42" s="88">
        <v>18.190000000000001</v>
      </c>
      <c r="BK42" s="88">
        <f t="shared" si="12"/>
        <v>83.32</v>
      </c>
      <c r="BL42" s="88"/>
      <c r="BM42" s="88"/>
      <c r="BN42" s="88"/>
      <c r="BO42" s="88"/>
      <c r="BP42" s="70">
        <v>51.0535</v>
      </c>
      <c r="BS42" s="70">
        <v>7.2999999999999995E-2</v>
      </c>
      <c r="BU42" s="70">
        <v>13.757300000000001</v>
      </c>
      <c r="BV42" s="70">
        <v>11.587400000000001</v>
      </c>
      <c r="BW42" s="71">
        <v>85.058700000000002</v>
      </c>
      <c r="BY42" s="71">
        <v>46.924199999999999</v>
      </c>
      <c r="BZ42" s="71">
        <v>16.7591</v>
      </c>
      <c r="CA42" s="71">
        <v>4.0498000000000003</v>
      </c>
      <c r="CB42" s="71">
        <v>24.854900000000001</v>
      </c>
      <c r="CC42" s="72"/>
      <c r="CD42" s="72"/>
      <c r="CE42" s="72"/>
      <c r="CF42" s="72"/>
      <c r="CG42" s="72"/>
      <c r="CH42" s="72"/>
      <c r="CI42" s="72"/>
      <c r="CJ42" s="72"/>
      <c r="CL42" s="74">
        <v>6.54</v>
      </c>
      <c r="CM42" s="69"/>
      <c r="CN42" s="69"/>
      <c r="CO42" s="69"/>
      <c r="CP42" s="69"/>
      <c r="CQ42" s="76"/>
      <c r="CR42" s="76"/>
      <c r="CS42" s="177"/>
      <c r="CT42" s="70"/>
      <c r="CU42" s="76"/>
      <c r="CV42" s="77"/>
      <c r="CW42" s="77"/>
      <c r="CX42" s="77"/>
      <c r="CY42" s="77"/>
      <c r="CZ42" s="77"/>
      <c r="DA42" s="66"/>
      <c r="DB42" s="66"/>
      <c r="DC42" s="66"/>
      <c r="DD42" s="66"/>
      <c r="DE42" s="66"/>
      <c r="DF42" s="66"/>
      <c r="DG42" s="66"/>
      <c r="DH42" s="66"/>
      <c r="DI42" s="168"/>
      <c r="DJ42" s="67"/>
      <c r="DK42" s="69"/>
      <c r="DL42" s="69"/>
      <c r="DM42" s="69"/>
      <c r="DN42" s="69"/>
      <c r="DO42" s="69"/>
      <c r="DP42" s="69"/>
      <c r="DQ42" s="69"/>
      <c r="DR42" s="69"/>
      <c r="DS42" s="70"/>
      <c r="DT42" s="70"/>
      <c r="DU42" s="70"/>
      <c r="DV42" s="177"/>
      <c r="DW42" s="177"/>
      <c r="DX42" s="70"/>
      <c r="DY42" s="70"/>
      <c r="DZ42" s="71"/>
      <c r="EA42" s="71"/>
      <c r="EB42" s="180"/>
      <c r="EC42" s="180"/>
      <c r="ED42" s="71"/>
      <c r="EE42" s="180"/>
      <c r="EF42" s="66"/>
      <c r="EG42" s="66"/>
      <c r="EH42" s="79"/>
      <c r="EI42" s="66"/>
      <c r="EJ42" s="79"/>
      <c r="EK42" s="66"/>
      <c r="EL42" s="168"/>
      <c r="EM42" s="67"/>
      <c r="EN42" s="78">
        <f t="shared" si="8"/>
        <v>18.755785965561945</v>
      </c>
      <c r="EO42" s="78">
        <f t="shared" si="9"/>
        <v>13.74509103891468</v>
      </c>
      <c r="EP42" s="78">
        <f t="shared" si="10"/>
        <v>44.047985235312204</v>
      </c>
      <c r="EQ42" s="78">
        <f t="shared" si="11"/>
        <v>21.403641165927745</v>
      </c>
      <c r="ER42" s="79"/>
      <c r="ES42" s="66"/>
      <c r="ET42" s="66"/>
      <c r="EU42" s="66"/>
      <c r="EV42" s="79"/>
      <c r="EW42" s="66"/>
      <c r="EX42" s="66"/>
      <c r="EY42" s="66"/>
      <c r="EZ42" s="66"/>
      <c r="FA42" s="66"/>
      <c r="FB42" s="66"/>
    </row>
    <row r="43" spans="1:158" hidden="1" x14ac:dyDescent="0.3">
      <c r="A43" s="86">
        <v>44543</v>
      </c>
      <c r="B43" s="86"/>
      <c r="C43" s="69">
        <v>210.19</v>
      </c>
      <c r="D43" s="69">
        <v>61.3</v>
      </c>
      <c r="E43" s="69">
        <v>23.8</v>
      </c>
      <c r="F43" s="69">
        <f t="shared" si="0"/>
        <v>148.88999999999999</v>
      </c>
      <c r="K43" s="70">
        <v>59.279699999999998</v>
      </c>
      <c r="N43" s="70">
        <v>0.2424</v>
      </c>
      <c r="P43" s="70">
        <v>7.2112999999999996</v>
      </c>
      <c r="Q43" s="70">
        <v>31.884699999999999</v>
      </c>
      <c r="R43" s="71">
        <v>98.436499999999995</v>
      </c>
      <c r="T43" s="71">
        <v>55.453400000000002</v>
      </c>
      <c r="U43" s="71">
        <v>18.377300000000002</v>
      </c>
      <c r="V43" s="71">
        <v>4.3699000000000003</v>
      </c>
      <c r="W43" s="71">
        <v>23.628299999999999</v>
      </c>
      <c r="X43" s="72"/>
      <c r="Y43" s="73"/>
      <c r="Z43" s="73"/>
      <c r="AA43" s="72"/>
      <c r="AB43" s="72"/>
      <c r="AC43" s="72"/>
      <c r="AD43" s="72"/>
      <c r="AE43" s="72"/>
      <c r="AF43" s="72"/>
      <c r="AH43" s="74">
        <v>7.16</v>
      </c>
      <c r="AI43" s="87">
        <v>170.26</v>
      </c>
      <c r="AJ43" s="87">
        <v>45.79</v>
      </c>
      <c r="AK43" s="87">
        <v>21.38</v>
      </c>
      <c r="AL43" s="87">
        <f t="shared" si="7"/>
        <v>124.47</v>
      </c>
      <c r="AM43" s="70">
        <v>50.387599999999999</v>
      </c>
      <c r="AO43" s="70">
        <v>0.10009999999999999</v>
      </c>
      <c r="AP43" s="70">
        <v>17.471599999999999</v>
      </c>
      <c r="AQ43" s="70">
        <v>1.4731000000000001</v>
      </c>
      <c r="AR43" s="71">
        <v>95.700800000000001</v>
      </c>
      <c r="AS43" s="71">
        <v>46.725499999999997</v>
      </c>
      <c r="AT43" s="71">
        <v>15.553699999999999</v>
      </c>
      <c r="AU43" s="71">
        <v>4.2230999999999996</v>
      </c>
      <c r="AV43" s="71">
        <v>24.278600000000001</v>
      </c>
      <c r="AW43" s="72"/>
      <c r="AX43" s="75"/>
      <c r="AY43" s="75"/>
      <c r="AZ43" s="75"/>
      <c r="BA43" s="75"/>
      <c r="BB43" s="72"/>
      <c r="BC43" s="72"/>
      <c r="BD43" s="72"/>
      <c r="BE43" s="72"/>
      <c r="BG43" s="74">
        <v>6.29</v>
      </c>
      <c r="BH43" s="88">
        <v>161.43</v>
      </c>
      <c r="BI43" s="88">
        <v>47.18</v>
      </c>
      <c r="BJ43" s="88">
        <v>20.190000000000001</v>
      </c>
      <c r="BK43" s="88">
        <f t="shared" si="12"/>
        <v>114.25</v>
      </c>
      <c r="BL43" s="88"/>
      <c r="BM43" s="88"/>
      <c r="BN43" s="88"/>
      <c r="BO43" s="88"/>
      <c r="BP43" s="70">
        <v>50.683700000000002</v>
      </c>
      <c r="BS43" s="70">
        <v>0.71789999999999998</v>
      </c>
      <c r="BU43" s="70">
        <v>8.8694000000000006</v>
      </c>
      <c r="BV43" s="70">
        <v>3.8673999999999999</v>
      </c>
      <c r="BW43" s="71">
        <v>66.071200000000005</v>
      </c>
      <c r="BY43" s="71">
        <v>47.534799999999997</v>
      </c>
      <c r="BZ43" s="71">
        <v>17.686399999999999</v>
      </c>
      <c r="CA43" s="71">
        <v>4.0328999999999997</v>
      </c>
      <c r="CB43" s="71">
        <v>24.5258</v>
      </c>
      <c r="CC43" s="72"/>
      <c r="CD43" s="72"/>
      <c r="CE43" s="72"/>
      <c r="CF43" s="72"/>
      <c r="CG43" s="72"/>
      <c r="CH43" s="72"/>
      <c r="CI43" s="72"/>
      <c r="CJ43" s="72"/>
      <c r="CL43" s="74">
        <v>6.34</v>
      </c>
      <c r="CM43" s="69"/>
      <c r="CN43" s="69"/>
      <c r="CO43" s="69"/>
      <c r="CP43" s="69"/>
      <c r="CQ43" s="76"/>
      <c r="CR43" s="76"/>
      <c r="CS43" s="177"/>
      <c r="CT43" s="70"/>
      <c r="CU43" s="76"/>
      <c r="CV43" s="77"/>
      <c r="CW43" s="77"/>
      <c r="CX43" s="77"/>
      <c r="CY43" s="77"/>
      <c r="CZ43" s="77"/>
      <c r="DA43" s="66"/>
      <c r="DB43" s="66"/>
      <c r="DC43" s="66"/>
      <c r="DD43" s="66"/>
      <c r="DE43" s="66"/>
      <c r="DF43" s="66"/>
      <c r="DG43" s="66"/>
      <c r="DH43" s="66"/>
      <c r="DI43" s="168"/>
      <c r="DJ43" s="67"/>
      <c r="DK43" s="69"/>
      <c r="DL43" s="69"/>
      <c r="DM43" s="69"/>
      <c r="DN43" s="69"/>
      <c r="DO43" s="69"/>
      <c r="DP43" s="69"/>
      <c r="DQ43" s="69"/>
      <c r="DR43" s="69"/>
      <c r="DS43" s="70"/>
      <c r="DT43" s="70"/>
      <c r="DU43" s="70"/>
      <c r="DV43" s="177"/>
      <c r="DW43" s="177"/>
      <c r="DX43" s="70"/>
      <c r="DY43" s="70"/>
      <c r="DZ43" s="71"/>
      <c r="EA43" s="71"/>
      <c r="EB43" s="180"/>
      <c r="EC43" s="180"/>
      <c r="ED43" s="71"/>
      <c r="EE43" s="180"/>
      <c r="EF43" s="66"/>
      <c r="EG43" s="66"/>
      <c r="EH43" s="79"/>
      <c r="EI43" s="66"/>
      <c r="EJ43" s="79"/>
      <c r="EK43" s="66"/>
      <c r="EL43" s="168"/>
      <c r="EM43" s="67"/>
      <c r="EN43" s="78">
        <f t="shared" si="8"/>
        <v>23.19805889909129</v>
      </c>
      <c r="EO43" s="78">
        <f t="shared" si="9"/>
        <v>23.034257748776511</v>
      </c>
      <c r="EP43" s="78">
        <f t="shared" si="10"/>
        <v>15.168067226890757</v>
      </c>
      <c r="EQ43" s="78">
        <f t="shared" si="11"/>
        <v>23.265498018671494</v>
      </c>
      <c r="ER43" s="79"/>
      <c r="ES43" s="66"/>
      <c r="ET43" s="66"/>
      <c r="EU43" s="66"/>
      <c r="EV43" s="79"/>
      <c r="EW43" s="66"/>
      <c r="EX43" s="66"/>
      <c r="EY43" s="66"/>
      <c r="EZ43" s="66"/>
      <c r="FA43" s="66"/>
      <c r="FB43" s="66"/>
    </row>
    <row r="44" spans="1:158" hidden="1" x14ac:dyDescent="0.3">
      <c r="A44" s="86">
        <v>44545</v>
      </c>
      <c r="B44" s="86"/>
      <c r="C44" s="69">
        <v>116.15</v>
      </c>
      <c r="D44" s="69">
        <v>69.55</v>
      </c>
      <c r="E44" s="69">
        <v>31.81</v>
      </c>
      <c r="F44" s="69">
        <f t="shared" si="0"/>
        <v>46.600000000000009</v>
      </c>
      <c r="K44" s="70">
        <v>55.086500000000001</v>
      </c>
      <c r="N44" s="70">
        <v>9.0800000000000006E-2</v>
      </c>
      <c r="P44" s="70">
        <v>8.0646000000000004</v>
      </c>
      <c r="Q44" s="70">
        <v>43.7849</v>
      </c>
      <c r="R44" s="71">
        <v>107.53789999999999</v>
      </c>
      <c r="T44" s="71">
        <v>51.680300000000003</v>
      </c>
      <c r="U44" s="71">
        <v>21.9298</v>
      </c>
      <c r="V44" s="71">
        <v>4.5053999999999998</v>
      </c>
      <c r="W44" s="71">
        <v>24.723199999999999</v>
      </c>
      <c r="X44" s="72"/>
      <c r="Y44" s="73"/>
      <c r="Z44" s="73"/>
      <c r="AA44" s="72"/>
      <c r="AB44" s="72"/>
      <c r="AC44" s="72"/>
      <c r="AD44" s="72"/>
      <c r="AE44" s="72"/>
      <c r="AF44" s="72"/>
      <c r="AI44" s="87">
        <v>103.45</v>
      </c>
      <c r="AJ44" s="87">
        <v>45.844999999999999</v>
      </c>
      <c r="AK44" s="87">
        <v>25.754999999999999</v>
      </c>
      <c r="AL44" s="87">
        <f t="shared" si="7"/>
        <v>57.605000000000004</v>
      </c>
      <c r="AM44" s="70">
        <v>61.812899999999999</v>
      </c>
      <c r="AP44" s="70">
        <v>16.604099999999999</v>
      </c>
      <c r="AQ44" s="70">
        <v>1.6144000000000001</v>
      </c>
      <c r="AR44" s="71">
        <v>91.954700000000003</v>
      </c>
      <c r="AS44" s="71">
        <v>50.076099999999997</v>
      </c>
      <c r="AT44" s="71">
        <v>26.187200000000001</v>
      </c>
      <c r="AU44" s="71">
        <v>4.125</v>
      </c>
      <c r="AV44" s="71">
        <v>24.392600000000002</v>
      </c>
      <c r="AW44" s="72"/>
      <c r="AX44" s="75"/>
      <c r="AY44" s="75"/>
      <c r="AZ44" s="75"/>
      <c r="BA44" s="75"/>
      <c r="BB44" s="72"/>
      <c r="BC44" s="72"/>
      <c r="BD44" s="72"/>
      <c r="BE44" s="72"/>
      <c r="BH44" s="88">
        <v>98.85</v>
      </c>
      <c r="BI44" s="88">
        <v>46.015000000000001</v>
      </c>
      <c r="BJ44" s="88">
        <v>26.21</v>
      </c>
      <c r="BK44" s="88">
        <f t="shared" si="12"/>
        <v>52.834999999999994</v>
      </c>
      <c r="BL44" s="88"/>
      <c r="BM44" s="88"/>
      <c r="BN44" s="88"/>
      <c r="BO44" s="88"/>
      <c r="BP44" s="70">
        <v>59.879899999999999</v>
      </c>
      <c r="BU44" s="70">
        <v>16.908799999999999</v>
      </c>
      <c r="BV44" s="70">
        <v>1.9378</v>
      </c>
      <c r="BW44" s="71">
        <v>92.358900000000006</v>
      </c>
      <c r="BY44" s="71">
        <v>50.165599999999998</v>
      </c>
      <c r="BZ44" s="71">
        <v>23.722000000000001</v>
      </c>
      <c r="CA44" s="71">
        <v>4.1509</v>
      </c>
      <c r="CB44" s="71">
        <v>24.667899999999999</v>
      </c>
      <c r="CC44" s="72"/>
      <c r="CD44" s="72"/>
      <c r="CE44" s="72"/>
      <c r="CF44" s="72"/>
      <c r="CG44" s="72"/>
      <c r="CH44" s="72"/>
      <c r="CI44" s="72"/>
      <c r="CJ44" s="72"/>
      <c r="CM44" s="69"/>
      <c r="CN44" s="69"/>
      <c r="CO44" s="69"/>
      <c r="CP44" s="69"/>
      <c r="CQ44" s="76"/>
      <c r="CR44" s="76"/>
      <c r="CS44" s="177"/>
      <c r="CT44" s="70"/>
      <c r="CU44" s="76"/>
      <c r="CV44" s="77"/>
      <c r="CW44" s="77"/>
      <c r="CX44" s="77"/>
      <c r="CY44" s="77"/>
      <c r="CZ44" s="77"/>
      <c r="DA44" s="66"/>
      <c r="DB44" s="66"/>
      <c r="DC44" s="66"/>
      <c r="DD44" s="66"/>
      <c r="DE44" s="66"/>
      <c r="DF44" s="66"/>
      <c r="DG44" s="66"/>
      <c r="DH44" s="66"/>
      <c r="DI44" s="168"/>
      <c r="DJ44" s="67"/>
      <c r="DK44" s="69"/>
      <c r="DL44" s="69"/>
      <c r="DM44" s="69"/>
      <c r="DN44" s="69"/>
      <c r="DO44" s="69"/>
      <c r="DP44" s="69"/>
      <c r="DQ44" s="69"/>
      <c r="DR44" s="69"/>
      <c r="DS44" s="70"/>
      <c r="DT44" s="70"/>
      <c r="DU44" s="70"/>
      <c r="DV44" s="177"/>
      <c r="DW44" s="177"/>
      <c r="DX44" s="70"/>
      <c r="DY44" s="70"/>
      <c r="DZ44" s="71"/>
      <c r="EA44" s="71"/>
      <c r="EB44" s="180"/>
      <c r="EC44" s="180"/>
      <c r="ED44" s="71"/>
      <c r="EE44" s="180"/>
      <c r="EF44" s="66"/>
      <c r="EG44" s="66"/>
      <c r="EH44" s="79"/>
      <c r="EI44" s="66"/>
      <c r="EJ44" s="79"/>
      <c r="EK44" s="66"/>
      <c r="EL44" s="168"/>
      <c r="EM44" s="67"/>
      <c r="EN44" s="78">
        <f t="shared" si="8"/>
        <v>14.894532931554039</v>
      </c>
      <c r="EO44" s="78">
        <f t="shared" si="9"/>
        <v>33.838964773544213</v>
      </c>
      <c r="EP44" s="78">
        <f t="shared" si="10"/>
        <v>17.604526878340142</v>
      </c>
      <c r="EQ44" s="78">
        <f t="shared" si="11"/>
        <v>-13.379828326180231</v>
      </c>
      <c r="ER44" s="79"/>
      <c r="ES44" s="66"/>
      <c r="ET44" s="66"/>
      <c r="EU44" s="66"/>
      <c r="EV44" s="79"/>
      <c r="EW44" s="66"/>
      <c r="EX44" s="66"/>
      <c r="EY44" s="66"/>
      <c r="EZ44" s="66"/>
      <c r="FA44" s="66"/>
      <c r="FB44" s="66"/>
    </row>
    <row r="45" spans="1:158" hidden="1" x14ac:dyDescent="0.3">
      <c r="A45" s="89">
        <v>44550</v>
      </c>
      <c r="B45" s="89"/>
      <c r="C45" s="69">
        <v>103.55</v>
      </c>
      <c r="D45" s="69">
        <v>53.6</v>
      </c>
      <c r="E45" s="69">
        <v>27.905000000000001</v>
      </c>
      <c r="F45" s="69">
        <f t="shared" si="0"/>
        <v>49.949999999999996</v>
      </c>
      <c r="K45" s="70">
        <v>49.543199999999999</v>
      </c>
      <c r="P45" s="70">
        <v>7.0898000000000003</v>
      </c>
      <c r="Q45" s="70">
        <v>34.375599999999999</v>
      </c>
      <c r="R45" s="71">
        <v>100.875</v>
      </c>
      <c r="T45" s="71">
        <v>45.601199999999999</v>
      </c>
      <c r="U45" s="71">
        <v>19.773399999999999</v>
      </c>
      <c r="V45" s="71">
        <v>4.3975</v>
      </c>
      <c r="W45" s="71">
        <v>22.8611</v>
      </c>
      <c r="X45" s="72"/>
      <c r="Y45" s="73"/>
      <c r="Z45" s="73"/>
      <c r="AA45" s="72"/>
      <c r="AB45" s="72"/>
      <c r="AC45" s="72"/>
      <c r="AD45" s="72"/>
      <c r="AE45" s="72"/>
      <c r="AF45" s="72"/>
      <c r="AH45" s="74">
        <v>7.07</v>
      </c>
      <c r="AI45" s="87">
        <v>95.1</v>
      </c>
      <c r="AJ45" s="87">
        <v>51.7</v>
      </c>
      <c r="AK45" s="87">
        <v>27.125</v>
      </c>
      <c r="AL45" s="87">
        <f t="shared" si="7"/>
        <v>43.399999999999991</v>
      </c>
      <c r="AM45" s="70">
        <v>54.905900000000003</v>
      </c>
      <c r="AO45" s="70">
        <v>8.5699999999999998E-2</v>
      </c>
      <c r="AP45" s="70">
        <v>14.1578</v>
      </c>
      <c r="AQ45" s="70">
        <v>5.2769000000000004</v>
      </c>
      <c r="AR45" s="71">
        <v>89.017499999999998</v>
      </c>
      <c r="AS45" s="71">
        <v>46.465600000000002</v>
      </c>
      <c r="AT45" s="71">
        <v>25.167100000000001</v>
      </c>
      <c r="AU45" s="71">
        <v>4.1298000000000004</v>
      </c>
      <c r="AV45" s="71">
        <v>20.0703</v>
      </c>
      <c r="AW45" s="72"/>
      <c r="AX45" s="75"/>
      <c r="AY45" s="75"/>
      <c r="AZ45" s="75"/>
      <c r="BA45" s="75"/>
      <c r="BB45" s="72"/>
      <c r="BC45" s="72"/>
      <c r="BD45" s="72"/>
      <c r="BE45" s="72"/>
      <c r="BG45" s="74">
        <v>6.76</v>
      </c>
      <c r="BH45" s="88">
        <v>87.55</v>
      </c>
      <c r="BI45" s="88">
        <v>52.15</v>
      </c>
      <c r="BJ45" s="88">
        <v>25.32</v>
      </c>
      <c r="BK45" s="88">
        <f t="shared" si="12"/>
        <v>35.4</v>
      </c>
      <c r="BL45" s="88"/>
      <c r="BM45" s="88"/>
      <c r="BN45" s="88"/>
      <c r="BO45" s="88"/>
      <c r="BP45" s="70">
        <v>49.654899999999998</v>
      </c>
      <c r="BS45" s="70">
        <v>0.17749999999999999</v>
      </c>
      <c r="BU45" s="70">
        <v>12.725199999999999</v>
      </c>
      <c r="BV45" s="70">
        <v>7.0914999999999999</v>
      </c>
      <c r="BW45" s="71">
        <v>89.629000000000005</v>
      </c>
      <c r="BY45" s="71">
        <v>46.372100000000003</v>
      </c>
      <c r="BZ45" s="71">
        <v>17.9742</v>
      </c>
      <c r="CA45" s="71">
        <v>4.0819999999999999</v>
      </c>
      <c r="CB45" s="71">
        <v>20.477799999999998</v>
      </c>
      <c r="CC45" s="72"/>
      <c r="CD45" s="72"/>
      <c r="CE45" s="72"/>
      <c r="CF45" s="72"/>
      <c r="CG45" s="72"/>
      <c r="CH45" s="72"/>
      <c r="CI45" s="72"/>
      <c r="CJ45" s="72"/>
      <c r="CL45" s="74">
        <v>6.81</v>
      </c>
      <c r="CM45" s="69"/>
      <c r="CN45" s="69"/>
      <c r="CO45" s="69"/>
      <c r="CP45" s="69"/>
      <c r="CQ45" s="76"/>
      <c r="CR45" s="76"/>
      <c r="CS45" s="177"/>
      <c r="CT45" s="70"/>
      <c r="CU45" s="76"/>
      <c r="CV45" s="77"/>
      <c r="CW45" s="77"/>
      <c r="CX45" s="77"/>
      <c r="CY45" s="77"/>
      <c r="CZ45" s="77"/>
      <c r="DA45" s="66"/>
      <c r="DB45" s="66"/>
      <c r="DC45" s="66"/>
      <c r="DD45" s="66"/>
      <c r="DE45" s="66"/>
      <c r="DF45" s="66"/>
      <c r="DG45" s="66"/>
      <c r="DH45" s="66"/>
      <c r="DI45" s="168"/>
      <c r="DJ45" s="67"/>
      <c r="DK45" s="69"/>
      <c r="DL45" s="69"/>
      <c r="DM45" s="69"/>
      <c r="DN45" s="69"/>
      <c r="DO45" s="69"/>
      <c r="DP45" s="69"/>
      <c r="DQ45" s="69"/>
      <c r="DR45" s="69"/>
      <c r="DS45" s="70"/>
      <c r="DT45" s="70"/>
      <c r="DU45" s="70"/>
      <c r="DV45" s="177"/>
      <c r="DW45" s="177"/>
      <c r="DX45" s="70"/>
      <c r="DY45" s="70"/>
      <c r="DZ45" s="71"/>
      <c r="EA45" s="71"/>
      <c r="EB45" s="180"/>
      <c r="EC45" s="180"/>
      <c r="ED45" s="71"/>
      <c r="EE45" s="180"/>
      <c r="EF45" s="66"/>
      <c r="EG45" s="66"/>
      <c r="EH45" s="79"/>
      <c r="EI45" s="66"/>
      <c r="EJ45" s="79"/>
      <c r="EK45" s="66"/>
      <c r="EL45" s="168"/>
      <c r="EM45" s="67"/>
      <c r="EN45" s="78">
        <f t="shared" si="8"/>
        <v>15.451472718493486</v>
      </c>
      <c r="EO45" s="78">
        <f t="shared" si="9"/>
        <v>2.7052238805970186</v>
      </c>
      <c r="EP45" s="78">
        <f t="shared" si="10"/>
        <v>9.2635728364092511</v>
      </c>
      <c r="EQ45" s="78">
        <f t="shared" si="11"/>
        <v>29.129129129129126</v>
      </c>
      <c r="ER45" s="79"/>
      <c r="ES45" s="66"/>
      <c r="ET45" s="66"/>
      <c r="EU45" s="201"/>
      <c r="EV45" s="201"/>
      <c r="EW45" s="201"/>
      <c r="EX45" s="66"/>
      <c r="EY45" s="66"/>
      <c r="EZ45" s="66"/>
      <c r="FA45" s="66"/>
      <c r="FB45" s="66"/>
    </row>
    <row r="46" spans="1:158" hidden="1" x14ac:dyDescent="0.3">
      <c r="A46" s="89">
        <v>44552</v>
      </c>
      <c r="B46" s="89"/>
      <c r="C46" s="69">
        <v>131.6</v>
      </c>
      <c r="D46" s="69">
        <v>59.25</v>
      </c>
      <c r="E46" s="69">
        <v>30.81</v>
      </c>
      <c r="F46" s="69">
        <f t="shared" si="0"/>
        <v>72.349999999999994</v>
      </c>
      <c r="K46" s="70">
        <v>62.058500000000002</v>
      </c>
      <c r="L46" s="70">
        <v>0.15670000000000001</v>
      </c>
      <c r="N46" s="70">
        <v>0.2266</v>
      </c>
      <c r="P46" s="70">
        <v>6.0869</v>
      </c>
      <c r="Q46" s="70">
        <v>30.9316</v>
      </c>
      <c r="R46" s="71">
        <v>85.695899999999995</v>
      </c>
      <c r="T46" s="71">
        <v>56.326700000000002</v>
      </c>
      <c r="U46" s="71">
        <v>26.6096</v>
      </c>
      <c r="V46" s="71">
        <v>4.2507000000000001</v>
      </c>
      <c r="W46" s="71">
        <v>22.2273</v>
      </c>
      <c r="X46" s="72"/>
      <c r="Y46" s="73"/>
      <c r="Z46" s="73"/>
      <c r="AA46" s="72"/>
      <c r="AB46" s="72"/>
      <c r="AC46" s="72"/>
      <c r="AD46" s="72"/>
      <c r="AE46" s="72"/>
      <c r="AF46" s="72"/>
      <c r="AH46" s="74">
        <v>7.61</v>
      </c>
      <c r="AI46" s="87">
        <v>122.9</v>
      </c>
      <c r="AJ46" s="87">
        <v>40.14</v>
      </c>
      <c r="AK46" s="87">
        <v>26.29</v>
      </c>
      <c r="AL46" s="87">
        <f t="shared" si="7"/>
        <v>82.76</v>
      </c>
      <c r="AM46" s="70">
        <v>57.1233</v>
      </c>
      <c r="AO46" s="70">
        <v>0.2908</v>
      </c>
      <c r="AP46" s="70">
        <v>14.404999999999999</v>
      </c>
      <c r="AQ46" s="70">
        <v>3.5617999999999999</v>
      </c>
      <c r="AR46" s="71">
        <v>90.520200000000003</v>
      </c>
      <c r="AS46" s="71">
        <v>51.335900000000002</v>
      </c>
      <c r="AT46" s="71">
        <v>21.411200000000001</v>
      </c>
      <c r="AU46" s="71">
        <v>4.1896000000000004</v>
      </c>
      <c r="AV46" s="71">
        <v>25.391200000000001</v>
      </c>
      <c r="AW46" s="72"/>
      <c r="AX46" s="75"/>
      <c r="AY46" s="75"/>
      <c r="AZ46" s="75"/>
      <c r="BA46" s="75"/>
      <c r="BB46" s="72"/>
      <c r="BC46" s="72"/>
      <c r="BD46" s="72"/>
      <c r="BE46" s="72"/>
      <c r="BG46" s="74">
        <v>6.41</v>
      </c>
      <c r="BH46" s="88">
        <v>125.1</v>
      </c>
      <c r="BI46" s="88">
        <v>39.244999999999997</v>
      </c>
      <c r="BJ46" s="88">
        <v>26.975000000000001</v>
      </c>
      <c r="BK46" s="88">
        <f t="shared" si="12"/>
        <v>85.85499999999999</v>
      </c>
      <c r="BL46" s="88"/>
      <c r="BM46" s="88"/>
      <c r="BN46" s="88"/>
      <c r="BO46" s="88"/>
      <c r="BP46" s="70">
        <v>57.480899999999998</v>
      </c>
      <c r="BS46" s="70">
        <v>9.5200000000000007E-2</v>
      </c>
      <c r="BU46" s="70">
        <v>14.0497</v>
      </c>
      <c r="BV46" s="70">
        <v>7.3379000000000003</v>
      </c>
      <c r="BW46" s="71">
        <v>88.213700000000003</v>
      </c>
      <c r="BY46" s="71">
        <v>51.223700000000001</v>
      </c>
      <c r="BZ46" s="71">
        <v>21.783999999999999</v>
      </c>
      <c r="CA46" s="71">
        <v>4.1216999999999997</v>
      </c>
      <c r="CB46" s="71">
        <v>24.157499999999999</v>
      </c>
      <c r="CC46" s="72"/>
      <c r="CD46" s="72"/>
      <c r="CE46" s="72"/>
      <c r="CF46" s="72"/>
      <c r="CG46" s="72"/>
      <c r="CH46" s="72"/>
      <c r="CI46" s="72"/>
      <c r="CJ46" s="72"/>
      <c r="CL46" s="74">
        <v>6.39</v>
      </c>
      <c r="CM46" s="69"/>
      <c r="CN46" s="69"/>
      <c r="CO46" s="69"/>
      <c r="CP46" s="69"/>
      <c r="CQ46" s="76"/>
      <c r="CR46" s="76"/>
      <c r="CS46" s="177"/>
      <c r="CT46" s="70"/>
      <c r="CU46" s="76"/>
      <c r="CV46" s="77"/>
      <c r="CW46" s="77"/>
      <c r="CX46" s="77"/>
      <c r="CY46" s="77"/>
      <c r="CZ46" s="77"/>
      <c r="DA46" s="66"/>
      <c r="DB46" s="66"/>
      <c r="DC46" s="66"/>
      <c r="DD46" s="66"/>
      <c r="DE46" s="66"/>
      <c r="DF46" s="66"/>
      <c r="DG46" s="66"/>
      <c r="DH46" s="66"/>
      <c r="DI46" s="168"/>
      <c r="DJ46" s="67"/>
      <c r="DK46" s="69"/>
      <c r="DL46" s="69"/>
      <c r="DM46" s="69"/>
      <c r="DN46" s="69"/>
      <c r="DO46" s="69"/>
      <c r="DP46" s="69"/>
      <c r="DQ46" s="69"/>
      <c r="DR46" s="69"/>
      <c r="DS46" s="70"/>
      <c r="DT46" s="70"/>
      <c r="DU46" s="70"/>
      <c r="DV46" s="177"/>
      <c r="DW46" s="177"/>
      <c r="DX46" s="70"/>
      <c r="DY46" s="70"/>
      <c r="DZ46" s="71"/>
      <c r="EA46" s="71"/>
      <c r="EB46" s="180"/>
      <c r="EC46" s="180"/>
      <c r="ED46" s="71"/>
      <c r="EE46" s="180"/>
      <c r="EF46" s="66"/>
      <c r="EG46" s="66"/>
      <c r="EH46" s="79"/>
      <c r="EI46" s="66"/>
      <c r="EJ46" s="79"/>
      <c r="EK46" s="66"/>
      <c r="EL46" s="168"/>
      <c r="EM46" s="67"/>
      <c r="EN46" s="78">
        <f t="shared" si="8"/>
        <v>4.9392097264437718</v>
      </c>
      <c r="EO46" s="78">
        <f t="shared" si="9"/>
        <v>33.763713080168777</v>
      </c>
      <c r="EP46" s="78">
        <f t="shared" si="10"/>
        <v>12.447257383966237</v>
      </c>
      <c r="EQ46" s="78">
        <f t="shared" si="11"/>
        <v>-18.666205943331015</v>
      </c>
      <c r="ER46" s="79"/>
      <c r="ES46" s="66"/>
      <c r="ET46" s="66"/>
      <c r="EU46" s="66"/>
      <c r="EV46" s="79"/>
      <c r="EW46" s="66"/>
      <c r="EX46" s="66"/>
      <c r="EY46" s="66"/>
      <c r="EZ46" s="66"/>
      <c r="FA46" s="66"/>
      <c r="FB46" s="66"/>
    </row>
    <row r="47" spans="1:158" hidden="1" x14ac:dyDescent="0.3">
      <c r="A47" s="86">
        <v>44558</v>
      </c>
      <c r="B47" s="86"/>
      <c r="C47" s="90">
        <v>118.65</v>
      </c>
      <c r="D47" s="90">
        <v>61</v>
      </c>
      <c r="E47" s="90">
        <v>31.53</v>
      </c>
      <c r="F47" s="69">
        <f t="shared" si="0"/>
        <v>57.650000000000006</v>
      </c>
      <c r="K47" s="70">
        <v>61.8887</v>
      </c>
      <c r="P47" s="70">
        <v>8.8002000000000002</v>
      </c>
      <c r="Q47" s="70">
        <v>32.728700000000003</v>
      </c>
      <c r="R47" s="71">
        <v>85.489699999999999</v>
      </c>
      <c r="T47" s="71">
        <v>53.4724</v>
      </c>
      <c r="U47" s="71">
        <v>24.886900000000001</v>
      </c>
      <c r="V47" s="71">
        <v>5.7049000000000003</v>
      </c>
      <c r="W47" s="71">
        <v>27.610299999999999</v>
      </c>
      <c r="X47" s="72"/>
      <c r="Y47" s="73">
        <v>1079</v>
      </c>
      <c r="Z47" s="73"/>
      <c r="AA47" s="72"/>
      <c r="AB47" s="73"/>
      <c r="AC47" s="73"/>
      <c r="AD47" s="73"/>
      <c r="AE47" s="73"/>
      <c r="AF47" s="73"/>
      <c r="AH47" s="74">
        <v>6.79</v>
      </c>
      <c r="AI47" s="91">
        <v>129.19999999999999</v>
      </c>
      <c r="AJ47" s="91">
        <v>60.4</v>
      </c>
      <c r="AK47" s="91">
        <v>32.29</v>
      </c>
      <c r="AL47" s="87">
        <f t="shared" si="7"/>
        <v>68.799999999999983</v>
      </c>
      <c r="AM47" s="70">
        <v>61.842100000000002</v>
      </c>
      <c r="AP47" s="70">
        <v>26.086400000000001</v>
      </c>
      <c r="AQ47" s="70">
        <v>1.72</v>
      </c>
      <c r="AR47" s="71">
        <v>96.033900000000003</v>
      </c>
      <c r="AS47" s="71">
        <v>51.239199999999997</v>
      </c>
      <c r="AT47" s="71">
        <v>30.689499999999999</v>
      </c>
      <c r="AU47" s="71">
        <v>5.8226000000000004</v>
      </c>
      <c r="AV47" s="71">
        <v>25.253599999999999</v>
      </c>
      <c r="AW47" s="72"/>
      <c r="AX47" s="75">
        <v>1690</v>
      </c>
      <c r="AY47" s="75"/>
      <c r="AZ47" s="75"/>
      <c r="BA47" s="75"/>
      <c r="BB47" s="73"/>
      <c r="BC47" s="73"/>
      <c r="BD47" s="73"/>
      <c r="BE47" s="73"/>
      <c r="BF47" s="172"/>
      <c r="BG47" s="74">
        <v>6.8</v>
      </c>
      <c r="BH47" s="92">
        <v>128.35</v>
      </c>
      <c r="BI47" s="92">
        <v>60.35</v>
      </c>
      <c r="BJ47" s="92">
        <v>32.774999999999999</v>
      </c>
      <c r="BK47" s="88">
        <f t="shared" si="12"/>
        <v>68</v>
      </c>
      <c r="BL47" s="88"/>
      <c r="BM47" s="88"/>
      <c r="BN47" s="88"/>
      <c r="BO47" s="88"/>
      <c r="BP47" s="70">
        <v>61.694499999999998</v>
      </c>
      <c r="BU47" s="70">
        <v>25.663699999999999</v>
      </c>
      <c r="BV47" s="70">
        <v>1.4887999999999999</v>
      </c>
      <c r="BW47" s="71">
        <v>94.781199999999998</v>
      </c>
      <c r="BY47" s="71">
        <v>51.094799999999999</v>
      </c>
      <c r="BZ47" s="71">
        <v>31.285</v>
      </c>
      <c r="CA47" s="71">
        <v>5.6196999999999999</v>
      </c>
      <c r="CB47" s="71">
        <v>24.627199999999998</v>
      </c>
      <c r="CC47" s="72"/>
      <c r="CD47" s="73">
        <v>1178</v>
      </c>
      <c r="CE47" s="73"/>
      <c r="CF47" s="73"/>
      <c r="CG47" s="73"/>
      <c r="CH47" s="73"/>
      <c r="CI47" s="73"/>
      <c r="CJ47" s="73"/>
      <c r="CL47" s="74">
        <v>6.76</v>
      </c>
      <c r="CM47" s="69"/>
      <c r="CN47" s="69"/>
      <c r="CO47" s="69"/>
      <c r="CP47" s="69"/>
      <c r="CQ47" s="76"/>
      <c r="CR47" s="76"/>
      <c r="CS47" s="177"/>
      <c r="CT47" s="70"/>
      <c r="CU47" s="76"/>
      <c r="CV47" s="77"/>
      <c r="CW47" s="77"/>
      <c r="CX47" s="77"/>
      <c r="CY47" s="77"/>
      <c r="CZ47" s="77"/>
      <c r="DA47" s="66"/>
      <c r="DB47" s="66"/>
      <c r="DC47" s="66"/>
      <c r="DD47" s="66"/>
      <c r="DE47" s="66"/>
      <c r="DF47" s="66"/>
      <c r="DG47" s="66"/>
      <c r="DH47" s="66"/>
      <c r="DI47" s="168"/>
      <c r="DJ47" s="67"/>
      <c r="DK47" s="69"/>
      <c r="DL47" s="69"/>
      <c r="DM47" s="69"/>
      <c r="DN47" s="69"/>
      <c r="DO47" s="69"/>
      <c r="DP47" s="69"/>
      <c r="DQ47" s="69"/>
      <c r="DR47" s="69"/>
      <c r="DS47" s="70"/>
      <c r="DT47" s="70"/>
      <c r="DU47" s="70"/>
      <c r="DV47" s="177"/>
      <c r="DW47" s="177"/>
      <c r="DX47" s="70"/>
      <c r="DY47" s="70"/>
      <c r="DZ47" s="71"/>
      <c r="EA47" s="71"/>
      <c r="EB47" s="180"/>
      <c r="EC47" s="180"/>
      <c r="ED47" s="71"/>
      <c r="EE47" s="180"/>
      <c r="EF47" s="66"/>
      <c r="EG47" s="66"/>
      <c r="EH47" s="79"/>
      <c r="EI47" s="66"/>
      <c r="EJ47" s="79"/>
      <c r="EK47" s="66"/>
      <c r="EL47" s="168"/>
      <c r="EM47" s="67"/>
      <c r="EN47" s="78">
        <f t="shared" si="8"/>
        <v>-8.1753055204382576</v>
      </c>
      <c r="EO47" s="78">
        <f t="shared" si="9"/>
        <v>1.0655737704918011</v>
      </c>
      <c r="EP47" s="78">
        <f t="shared" si="10"/>
        <v>-3.9486203615604065</v>
      </c>
      <c r="EQ47" s="78">
        <f t="shared" si="11"/>
        <v>-17.953165654813507</v>
      </c>
      <c r="ER47" s="79"/>
      <c r="ES47" s="66"/>
      <c r="ET47" s="138"/>
      <c r="EU47" s="139"/>
      <c r="EV47" s="79"/>
      <c r="EW47" s="139"/>
      <c r="EX47" s="66"/>
      <c r="EY47" s="66"/>
      <c r="EZ47" s="66"/>
      <c r="FA47" s="66"/>
      <c r="FB47" s="66"/>
    </row>
    <row r="48" spans="1:158" hidden="1" x14ac:dyDescent="0.3">
      <c r="A48" s="86">
        <v>44564</v>
      </c>
      <c r="B48" s="86"/>
      <c r="C48" s="90">
        <v>165.75</v>
      </c>
      <c r="D48" s="90">
        <v>59.95</v>
      </c>
      <c r="E48" s="90">
        <v>32.085000000000001</v>
      </c>
      <c r="F48" s="69">
        <f t="shared" si="0"/>
        <v>105.8</v>
      </c>
      <c r="K48" s="70">
        <v>56.580100000000002</v>
      </c>
      <c r="L48" s="70">
        <v>0.20219999999999999</v>
      </c>
      <c r="N48" s="70">
        <v>0.44009999999999999</v>
      </c>
      <c r="P48" s="70">
        <v>11.7363</v>
      </c>
      <c r="Q48" s="70">
        <v>32.655000000000001</v>
      </c>
      <c r="R48" s="71">
        <v>81.882000000000005</v>
      </c>
      <c r="T48" s="71">
        <v>50.448500000000003</v>
      </c>
      <c r="U48" s="71">
        <v>7.8373999999999997</v>
      </c>
      <c r="V48" s="71">
        <v>5.6677999999999997</v>
      </c>
      <c r="W48" s="71">
        <v>24.124300000000002</v>
      </c>
      <c r="X48" s="72"/>
      <c r="Y48" s="73"/>
      <c r="Z48" s="73"/>
      <c r="AA48" s="72"/>
      <c r="AB48" s="72"/>
      <c r="AC48" s="72"/>
      <c r="AD48" s="72"/>
      <c r="AE48" s="72"/>
      <c r="AF48" s="72"/>
      <c r="AH48" s="74">
        <v>7.68</v>
      </c>
      <c r="AI48" s="91">
        <v>157.15</v>
      </c>
      <c r="AJ48" s="91">
        <v>60.15</v>
      </c>
      <c r="AK48" s="91">
        <v>36.06</v>
      </c>
      <c r="AL48" s="87">
        <f t="shared" si="7"/>
        <v>97</v>
      </c>
      <c r="AM48" s="70">
        <v>63.010599999999997</v>
      </c>
      <c r="AN48" s="70">
        <v>6.0600000000000001E-2</v>
      </c>
      <c r="AO48" s="70">
        <v>0.4919</v>
      </c>
      <c r="AP48" s="70">
        <v>25.082699999999999</v>
      </c>
      <c r="AQ48" s="70">
        <v>9.0051000000000005</v>
      </c>
      <c r="AR48" s="71">
        <v>101.86539999999999</v>
      </c>
      <c r="AS48" s="71">
        <v>52.915399999999998</v>
      </c>
      <c r="AT48" s="71">
        <v>29.7834</v>
      </c>
      <c r="AU48" s="71">
        <v>5.9360999999999997</v>
      </c>
      <c r="AV48" s="71">
        <v>24.858499999999999</v>
      </c>
      <c r="AW48" s="72"/>
      <c r="AX48" s="75"/>
      <c r="AY48" s="75"/>
      <c r="AZ48" s="75"/>
      <c r="BA48" s="75"/>
      <c r="BB48" s="72"/>
      <c r="BC48" s="72"/>
      <c r="BD48" s="72"/>
      <c r="BE48" s="72"/>
      <c r="BG48" s="74">
        <v>6.58</v>
      </c>
      <c r="BH48" s="92">
        <v>169.8</v>
      </c>
      <c r="BI48" s="92">
        <v>57.85</v>
      </c>
      <c r="BJ48" s="92">
        <v>41.965000000000003</v>
      </c>
      <c r="BK48" s="88">
        <f t="shared" si="12"/>
        <v>111.95000000000002</v>
      </c>
      <c r="BL48" s="88"/>
      <c r="BM48" s="88"/>
      <c r="BN48" s="88"/>
      <c r="BO48" s="88"/>
      <c r="BP48" s="70">
        <v>63.430700000000002</v>
      </c>
      <c r="BU48" s="70">
        <v>28.544</v>
      </c>
      <c r="BV48" s="70">
        <v>7.3381999999999996</v>
      </c>
      <c r="BW48" s="71">
        <v>111.07599999999999</v>
      </c>
      <c r="BY48" s="71">
        <v>53.136400000000002</v>
      </c>
      <c r="BZ48" s="71">
        <v>31.369</v>
      </c>
      <c r="CA48" s="71">
        <v>6.2039</v>
      </c>
      <c r="CB48" s="71">
        <v>23.9801</v>
      </c>
      <c r="CC48" s="72"/>
      <c r="CD48" s="72"/>
      <c r="CE48" s="72"/>
      <c r="CF48" s="72"/>
      <c r="CG48" s="72"/>
      <c r="CH48" s="72"/>
      <c r="CI48" s="72"/>
      <c r="CJ48" s="72"/>
      <c r="CL48" s="74">
        <v>6.47</v>
      </c>
      <c r="CM48" s="69"/>
      <c r="CN48" s="69"/>
      <c r="CO48" s="69"/>
      <c r="CP48" s="69"/>
      <c r="CQ48" s="76"/>
      <c r="CR48" s="76"/>
      <c r="CS48" s="177"/>
      <c r="CT48" s="70"/>
      <c r="CU48" s="76"/>
      <c r="CV48" s="77"/>
      <c r="CW48" s="77"/>
      <c r="CX48" s="77"/>
      <c r="CY48" s="77"/>
      <c r="CZ48" s="77"/>
      <c r="DA48" s="66"/>
      <c r="DB48" s="66"/>
      <c r="DC48" s="66"/>
      <c r="DD48" s="66"/>
      <c r="DE48" s="66"/>
      <c r="DF48" s="66"/>
      <c r="DG48" s="66"/>
      <c r="DH48" s="66"/>
      <c r="DI48" s="168"/>
      <c r="DJ48" s="67"/>
      <c r="DK48" s="69"/>
      <c r="DL48" s="69"/>
      <c r="DM48" s="69"/>
      <c r="DN48" s="69"/>
      <c r="DO48" s="69"/>
      <c r="DP48" s="69"/>
      <c r="DQ48" s="69"/>
      <c r="DR48" s="69"/>
      <c r="DS48" s="70"/>
      <c r="DT48" s="70"/>
      <c r="DU48" s="70"/>
      <c r="DV48" s="177"/>
      <c r="DW48" s="177"/>
      <c r="DX48" s="70"/>
      <c r="DY48" s="70"/>
      <c r="DZ48" s="71"/>
      <c r="EA48" s="71"/>
      <c r="EB48" s="180"/>
      <c r="EC48" s="180"/>
      <c r="ED48" s="71"/>
      <c r="EE48" s="180"/>
      <c r="EF48" s="66"/>
      <c r="EG48" s="66"/>
      <c r="EH48" s="79"/>
      <c r="EI48" s="66"/>
      <c r="EJ48" s="79"/>
      <c r="EK48" s="66"/>
      <c r="EL48" s="168"/>
      <c r="EM48" s="67"/>
      <c r="EN48" s="78">
        <f t="shared" si="8"/>
        <v>-2.4434389140271628</v>
      </c>
      <c r="EO48" s="78">
        <f t="shared" si="9"/>
        <v>3.5029190992493797</v>
      </c>
      <c r="EP48" s="78">
        <f t="shared" si="10"/>
        <v>-30.793205547763769</v>
      </c>
      <c r="EQ48" s="78">
        <f t="shared" si="11"/>
        <v>-5.8128544423440731</v>
      </c>
      <c r="ER48" s="79"/>
      <c r="ES48" s="66"/>
      <c r="ET48" s="138"/>
      <c r="EU48" s="139"/>
      <c r="EV48" s="79"/>
      <c r="EW48" s="139"/>
      <c r="EX48" s="66"/>
      <c r="EY48" s="66"/>
      <c r="EZ48" s="66"/>
      <c r="FA48" s="66"/>
      <c r="FB48" s="66"/>
    </row>
    <row r="49" spans="1:158" hidden="1" x14ac:dyDescent="0.3">
      <c r="A49" s="86">
        <v>44573</v>
      </c>
      <c r="B49" s="86"/>
      <c r="C49" s="90">
        <v>88.1</v>
      </c>
      <c r="D49" s="90">
        <v>68.150000000000006</v>
      </c>
      <c r="E49" s="90"/>
      <c r="F49" s="69">
        <f t="shared" si="0"/>
        <v>19.949999999999989</v>
      </c>
      <c r="X49" s="72"/>
      <c r="Y49" s="73"/>
      <c r="Z49" s="73"/>
      <c r="AA49" s="72"/>
      <c r="AB49" s="72"/>
      <c r="AC49" s="72"/>
      <c r="AD49" s="72"/>
      <c r="AE49" s="72"/>
      <c r="AF49" s="72"/>
      <c r="AH49" s="74">
        <v>7.34</v>
      </c>
      <c r="AI49" s="91">
        <v>106.35</v>
      </c>
      <c r="AJ49" s="91">
        <v>65.650000000000006</v>
      </c>
      <c r="AK49" s="91"/>
      <c r="AL49" s="87">
        <f t="shared" si="7"/>
        <v>40.699999999999989</v>
      </c>
      <c r="AW49" s="72"/>
      <c r="AX49" s="75"/>
      <c r="AY49" s="75"/>
      <c r="AZ49" s="75"/>
      <c r="BA49" s="75"/>
      <c r="BB49" s="72"/>
      <c r="BC49" s="72"/>
      <c r="BD49" s="72"/>
      <c r="BE49" s="72"/>
      <c r="BG49" s="74">
        <v>7.09</v>
      </c>
      <c r="BH49" s="92">
        <v>98.9</v>
      </c>
      <c r="BI49" s="92">
        <v>68.099999999999994</v>
      </c>
      <c r="BJ49" s="92"/>
      <c r="BK49" s="88">
        <f t="shared" si="12"/>
        <v>30.800000000000011</v>
      </c>
      <c r="BL49" s="88"/>
      <c r="BM49" s="88"/>
      <c r="BN49" s="88"/>
      <c r="BO49" s="88"/>
      <c r="CC49" s="72"/>
      <c r="CD49" s="72"/>
      <c r="CE49" s="72"/>
      <c r="CF49" s="72"/>
      <c r="CG49" s="72"/>
      <c r="CH49" s="72"/>
      <c r="CI49" s="72"/>
      <c r="CJ49" s="72"/>
      <c r="CL49" s="74">
        <v>7.1</v>
      </c>
      <c r="CM49" s="69"/>
      <c r="CN49" s="69"/>
      <c r="CO49" s="69"/>
      <c r="CP49" s="69"/>
      <c r="CQ49" s="76"/>
      <c r="CR49" s="76"/>
      <c r="CS49" s="177"/>
      <c r="CT49" s="70"/>
      <c r="CU49" s="76"/>
      <c r="CV49" s="77"/>
      <c r="CW49" s="77"/>
      <c r="CX49" s="77"/>
      <c r="CY49" s="77"/>
      <c r="CZ49" s="77"/>
      <c r="DA49" s="66"/>
      <c r="DB49" s="66"/>
      <c r="DC49" s="66"/>
      <c r="DD49" s="66"/>
      <c r="DE49" s="66"/>
      <c r="DF49" s="66"/>
      <c r="DG49" s="66"/>
      <c r="DH49" s="66"/>
      <c r="DI49" s="168"/>
      <c r="DJ49" s="67"/>
      <c r="DK49" s="69"/>
      <c r="DL49" s="69"/>
      <c r="DM49" s="69"/>
      <c r="DN49" s="69"/>
      <c r="DO49" s="69"/>
      <c r="DP49" s="69"/>
      <c r="DQ49" s="69"/>
      <c r="DR49" s="69"/>
      <c r="DS49" s="70"/>
      <c r="DT49" s="70"/>
      <c r="DU49" s="70"/>
      <c r="DV49" s="177"/>
      <c r="DW49" s="177"/>
      <c r="DX49" s="70"/>
      <c r="DY49" s="70"/>
      <c r="DZ49" s="71"/>
      <c r="EA49" s="71"/>
      <c r="EB49" s="180"/>
      <c r="EC49" s="180"/>
      <c r="ED49" s="71"/>
      <c r="EE49" s="180"/>
      <c r="EF49" s="66"/>
      <c r="EG49" s="66"/>
      <c r="EH49" s="79"/>
      <c r="EI49" s="66"/>
      <c r="EJ49" s="79"/>
      <c r="EK49" s="66"/>
      <c r="EL49" s="168"/>
      <c r="EM49" s="67"/>
      <c r="EN49" s="78">
        <f>(1-BH49/C49)*100</f>
        <v>-12.258796821793428</v>
      </c>
      <c r="EO49" s="78">
        <f>(1-BI49/D49)*100</f>
        <v>7.3367571533400344E-2</v>
      </c>
      <c r="EP49" s="78"/>
      <c r="EQ49" s="78">
        <f>(1-BK49/F49)*100</f>
        <v>-54.385964912280848</v>
      </c>
      <c r="ER49" s="79"/>
      <c r="ES49" s="66"/>
      <c r="ET49" s="138"/>
      <c r="EU49" s="139"/>
      <c r="EV49" s="79"/>
      <c r="EW49" s="139"/>
      <c r="EX49" s="66"/>
      <c r="EY49" s="66"/>
      <c r="EZ49" s="66"/>
      <c r="FA49" s="66"/>
      <c r="FB49" s="66"/>
    </row>
    <row r="50" spans="1:158" hidden="1" x14ac:dyDescent="0.3">
      <c r="A50" s="86">
        <v>44575</v>
      </c>
      <c r="B50" s="86"/>
      <c r="C50" s="90"/>
      <c r="D50" s="90"/>
      <c r="E50" s="90"/>
      <c r="X50" s="72"/>
      <c r="Y50" s="73">
        <v>285</v>
      </c>
      <c r="Z50" s="73"/>
      <c r="AA50" s="72"/>
      <c r="AB50" s="73"/>
      <c r="AC50" s="73"/>
      <c r="AD50" s="73"/>
      <c r="AE50" s="73"/>
      <c r="AF50" s="73"/>
      <c r="AI50" s="91"/>
      <c r="AJ50" s="91"/>
      <c r="AK50" s="91"/>
      <c r="AL50" s="87"/>
      <c r="AW50" s="72"/>
      <c r="AX50" s="75">
        <v>352</v>
      </c>
      <c r="AY50" s="75"/>
      <c r="AZ50" s="75"/>
      <c r="BA50" s="75"/>
      <c r="BB50" s="73"/>
      <c r="BC50" s="73"/>
      <c r="BD50" s="73"/>
      <c r="BE50" s="73"/>
      <c r="BF50" s="172"/>
      <c r="BH50" s="92"/>
      <c r="BI50" s="92"/>
      <c r="BJ50" s="92"/>
      <c r="BK50" s="88"/>
      <c r="BL50" s="88"/>
      <c r="BM50" s="88"/>
      <c r="BN50" s="88"/>
      <c r="BO50" s="88"/>
      <c r="CC50" s="72"/>
      <c r="CD50" s="73">
        <v>315</v>
      </c>
      <c r="CE50" s="73"/>
      <c r="CF50" s="73"/>
      <c r="CG50" s="73"/>
      <c r="CH50" s="73"/>
      <c r="CI50" s="73"/>
      <c r="CJ50" s="73"/>
      <c r="CM50" s="69"/>
      <c r="CN50" s="69"/>
      <c r="CO50" s="69"/>
      <c r="CP50" s="69"/>
      <c r="CQ50" s="76"/>
      <c r="CR50" s="76"/>
      <c r="CS50" s="177"/>
      <c r="CT50" s="70"/>
      <c r="CU50" s="76"/>
      <c r="CV50" s="77"/>
      <c r="CW50" s="77"/>
      <c r="CX50" s="77"/>
      <c r="CY50" s="77"/>
      <c r="CZ50" s="77"/>
      <c r="DA50" s="66"/>
      <c r="DB50" s="66"/>
      <c r="DC50" s="66"/>
      <c r="DD50" s="66"/>
      <c r="DE50" s="66"/>
      <c r="DF50" s="66"/>
      <c r="DG50" s="66"/>
      <c r="DH50" s="66"/>
      <c r="DI50" s="168"/>
      <c r="DJ50" s="67"/>
      <c r="DK50" s="69"/>
      <c r="DL50" s="69"/>
      <c r="DM50" s="69"/>
      <c r="DN50" s="69"/>
      <c r="DO50" s="69"/>
      <c r="DP50" s="69"/>
      <c r="DQ50" s="69"/>
      <c r="DR50" s="69"/>
      <c r="DS50" s="70"/>
      <c r="DT50" s="70"/>
      <c r="DU50" s="70"/>
      <c r="DV50" s="177"/>
      <c r="DW50" s="177"/>
      <c r="DX50" s="70"/>
      <c r="DY50" s="70"/>
      <c r="DZ50" s="71"/>
      <c r="EA50" s="71"/>
      <c r="EB50" s="180"/>
      <c r="EC50" s="180"/>
      <c r="ED50" s="71"/>
      <c r="EE50" s="180"/>
      <c r="EF50" s="66"/>
      <c r="EG50" s="66"/>
      <c r="EH50" s="79"/>
      <c r="EI50" s="66"/>
      <c r="EJ50" s="79"/>
      <c r="EK50" s="66"/>
      <c r="EL50" s="168"/>
      <c r="EM50" s="67"/>
      <c r="EN50" s="78"/>
      <c r="EO50" s="78"/>
      <c r="EP50" s="78"/>
      <c r="EQ50" s="78"/>
      <c r="ER50" s="79"/>
      <c r="ES50" s="66"/>
      <c r="ET50" s="66"/>
      <c r="EU50" s="66"/>
      <c r="EV50" s="79"/>
      <c r="EW50" s="66"/>
      <c r="EX50" s="66"/>
      <c r="EY50" s="66"/>
      <c r="EZ50" s="66"/>
      <c r="FA50" s="66"/>
      <c r="FB50" s="66"/>
    </row>
    <row r="51" spans="1:158" hidden="1" x14ac:dyDescent="0.3">
      <c r="A51" s="86">
        <v>44579</v>
      </c>
      <c r="B51" s="86"/>
      <c r="C51" s="90">
        <v>111.6</v>
      </c>
      <c r="D51" s="90">
        <v>70.05</v>
      </c>
      <c r="E51" s="90"/>
      <c r="F51" s="69">
        <f t="shared" si="0"/>
        <v>41.55</v>
      </c>
      <c r="X51" s="72"/>
      <c r="Y51" s="73"/>
      <c r="Z51" s="73"/>
      <c r="AA51" s="72"/>
      <c r="AB51" s="72"/>
      <c r="AC51" s="72"/>
      <c r="AD51" s="72"/>
      <c r="AE51" s="72"/>
      <c r="AF51" s="72"/>
      <c r="AH51" s="74">
        <v>7.94</v>
      </c>
      <c r="AI51" s="91">
        <v>125.85</v>
      </c>
      <c r="AJ51" s="91">
        <v>55.75</v>
      </c>
      <c r="AK51" s="91"/>
      <c r="AL51" s="87">
        <f t="shared" si="7"/>
        <v>70.099999999999994</v>
      </c>
      <c r="AW51" s="72"/>
      <c r="AX51" s="75"/>
      <c r="AY51" s="75"/>
      <c r="AZ51" s="75"/>
      <c r="BA51" s="75"/>
      <c r="BB51" s="72"/>
      <c r="BC51" s="72"/>
      <c r="BD51" s="72"/>
      <c r="BE51" s="72"/>
      <c r="BG51" s="74">
        <v>6.94</v>
      </c>
      <c r="BH51" s="92">
        <v>125.85</v>
      </c>
      <c r="BI51" s="92">
        <v>52.8</v>
      </c>
      <c r="BJ51" s="92"/>
      <c r="BK51" s="88">
        <f t="shared" si="12"/>
        <v>73.05</v>
      </c>
      <c r="BL51" s="88"/>
      <c r="BM51" s="88"/>
      <c r="BN51" s="88"/>
      <c r="BO51" s="88"/>
      <c r="CC51" s="72"/>
      <c r="CD51" s="72"/>
      <c r="CE51" s="72"/>
      <c r="CF51" s="72"/>
      <c r="CG51" s="72"/>
      <c r="CH51" s="72"/>
      <c r="CI51" s="72"/>
      <c r="CJ51" s="72"/>
      <c r="CL51" s="74">
        <v>7.05</v>
      </c>
      <c r="CM51" s="69"/>
      <c r="CN51" s="69"/>
      <c r="CO51" s="69"/>
      <c r="CP51" s="69"/>
      <c r="CQ51" s="76"/>
      <c r="CR51" s="76"/>
      <c r="CS51" s="177"/>
      <c r="CT51" s="70"/>
      <c r="CU51" s="76"/>
      <c r="CV51" s="77"/>
      <c r="CW51" s="77"/>
      <c r="CX51" s="77"/>
      <c r="CY51" s="77"/>
      <c r="CZ51" s="77"/>
      <c r="DA51" s="66"/>
      <c r="DB51" s="66"/>
      <c r="DC51" s="66"/>
      <c r="DD51" s="66"/>
      <c r="DE51" s="66"/>
      <c r="DF51" s="66"/>
      <c r="DG51" s="66"/>
      <c r="DH51" s="66"/>
      <c r="DI51" s="168"/>
      <c r="DJ51" s="67"/>
      <c r="DK51" s="69"/>
      <c r="DL51" s="69"/>
      <c r="DM51" s="69"/>
      <c r="DN51" s="69"/>
      <c r="DO51" s="69"/>
      <c r="DP51" s="69"/>
      <c r="DQ51" s="69"/>
      <c r="DR51" s="69"/>
      <c r="DS51" s="70"/>
      <c r="DT51" s="70"/>
      <c r="DU51" s="70"/>
      <c r="DV51" s="177"/>
      <c r="DW51" s="177"/>
      <c r="DX51" s="70"/>
      <c r="DY51" s="70"/>
      <c r="DZ51" s="71"/>
      <c r="EA51" s="71"/>
      <c r="EB51" s="180"/>
      <c r="EC51" s="180"/>
      <c r="ED51" s="71"/>
      <c r="EE51" s="180"/>
      <c r="EF51" s="66"/>
      <c r="EG51" s="66"/>
      <c r="EH51" s="79"/>
      <c r="EI51" s="66"/>
      <c r="EJ51" s="79"/>
      <c r="EK51" s="66"/>
      <c r="EL51" s="168"/>
      <c r="EM51" s="67"/>
      <c r="EN51" s="78">
        <f t="shared" ref="EN51:EN60" si="13">(1-BH51/C51)*100</f>
        <v>-12.768817204301076</v>
      </c>
      <c r="EO51" s="78">
        <f t="shared" ref="EO51:EO60" si="14">(1-BI51/D51)*100</f>
        <v>24.625267665952887</v>
      </c>
      <c r="EP51" s="78"/>
      <c r="EQ51" s="78">
        <f t="shared" ref="EQ51:EQ61" si="15">(1-BK51/F51)*100</f>
        <v>-75.812274368231058</v>
      </c>
      <c r="ER51" s="79"/>
      <c r="ES51" s="66"/>
      <c r="ET51" s="138"/>
      <c r="EU51" s="139"/>
      <c r="EV51" s="79"/>
      <c r="EW51" s="139"/>
      <c r="EX51" s="66"/>
      <c r="EY51" s="66"/>
      <c r="EZ51" s="66"/>
      <c r="FA51" s="66"/>
      <c r="FB51" s="66"/>
    </row>
    <row r="52" spans="1:158" hidden="1" x14ac:dyDescent="0.3">
      <c r="A52" s="86">
        <v>44586</v>
      </c>
      <c r="B52" s="86"/>
      <c r="C52" s="93">
        <f>5*18.09</f>
        <v>90.45</v>
      </c>
      <c r="D52" s="93">
        <f>5*16.92</f>
        <v>84.600000000000009</v>
      </c>
      <c r="E52" s="93">
        <f>5*4.901</f>
        <v>24.504999999999999</v>
      </c>
      <c r="F52" s="69">
        <f t="shared" si="0"/>
        <v>5.8499999999999943</v>
      </c>
      <c r="X52" s="72"/>
      <c r="Y52" s="73"/>
      <c r="Z52" s="73"/>
      <c r="AA52" s="72"/>
      <c r="AB52" s="72"/>
      <c r="AC52" s="72"/>
      <c r="AD52" s="72"/>
      <c r="AE52" s="72"/>
      <c r="AF52" s="72"/>
      <c r="AH52" s="94">
        <v>7.05</v>
      </c>
      <c r="AI52" s="95">
        <f>5*24.41</f>
        <v>122.05</v>
      </c>
      <c r="AJ52" s="95">
        <f>5*13.31</f>
        <v>66.55</v>
      </c>
      <c r="AK52" s="95">
        <f>5*4.754</f>
        <v>23.769999999999996</v>
      </c>
      <c r="AL52" s="87">
        <f t="shared" si="7"/>
        <v>55.5</v>
      </c>
      <c r="AW52" s="72"/>
      <c r="AX52" s="75"/>
      <c r="AY52" s="75"/>
      <c r="AZ52" s="75"/>
      <c r="BA52" s="75"/>
      <c r="BB52" s="72"/>
      <c r="BC52" s="72"/>
      <c r="BD52" s="72"/>
      <c r="BE52" s="72"/>
      <c r="BG52" s="94">
        <v>6.81</v>
      </c>
      <c r="BH52" s="93">
        <f>5*16.04</f>
        <v>80.199999999999989</v>
      </c>
      <c r="BI52" s="93">
        <f>5*16.67</f>
        <v>83.350000000000009</v>
      </c>
      <c r="BJ52" s="93">
        <f>5*4.667</f>
        <v>23.335000000000001</v>
      </c>
      <c r="BK52" s="88">
        <f t="shared" si="12"/>
        <v>-3.1500000000000199</v>
      </c>
      <c r="BL52" s="88"/>
      <c r="BM52" s="88"/>
      <c r="BN52" s="88"/>
      <c r="BO52" s="88"/>
      <c r="CC52" s="72"/>
      <c r="CD52" s="72"/>
      <c r="CE52" s="72"/>
      <c r="CF52" s="72"/>
      <c r="CG52" s="72"/>
      <c r="CH52" s="72"/>
      <c r="CI52" s="72"/>
      <c r="CJ52" s="72"/>
      <c r="CL52" s="94">
        <v>6.88</v>
      </c>
      <c r="CM52" s="69"/>
      <c r="CN52" s="69"/>
      <c r="CO52" s="69"/>
      <c r="CP52" s="69"/>
      <c r="CQ52" s="76"/>
      <c r="CR52" s="76"/>
      <c r="CS52" s="177"/>
      <c r="CT52" s="70"/>
      <c r="CU52" s="76"/>
      <c r="CV52" s="77"/>
      <c r="CW52" s="77"/>
      <c r="CX52" s="77"/>
      <c r="CY52" s="77"/>
      <c r="CZ52" s="77"/>
      <c r="DA52" s="66"/>
      <c r="DB52" s="66"/>
      <c r="DC52" s="66"/>
      <c r="DD52" s="66"/>
      <c r="DE52" s="66"/>
      <c r="DF52" s="66"/>
      <c r="DG52" s="66"/>
      <c r="DH52" s="66"/>
      <c r="DI52" s="168"/>
      <c r="DJ52" s="67"/>
      <c r="DK52" s="69"/>
      <c r="DL52" s="69"/>
      <c r="DM52" s="69"/>
      <c r="DN52" s="69"/>
      <c r="DO52" s="69"/>
      <c r="DP52" s="69"/>
      <c r="DQ52" s="69"/>
      <c r="DR52" s="69"/>
      <c r="DS52" s="70"/>
      <c r="DT52" s="70"/>
      <c r="DU52" s="70"/>
      <c r="DV52" s="177"/>
      <c r="DW52" s="177"/>
      <c r="DX52" s="70"/>
      <c r="DY52" s="70"/>
      <c r="DZ52" s="71"/>
      <c r="EA52" s="71"/>
      <c r="EB52" s="180"/>
      <c r="EC52" s="180"/>
      <c r="ED52" s="71"/>
      <c r="EE52" s="180"/>
      <c r="EF52" s="66"/>
      <c r="EG52" s="66"/>
      <c r="EH52" s="79"/>
      <c r="EI52" s="66"/>
      <c r="EJ52" s="79"/>
      <c r="EK52" s="66"/>
      <c r="EL52" s="168"/>
      <c r="EM52" s="67"/>
      <c r="EN52" s="78">
        <f t="shared" si="13"/>
        <v>11.332227750138212</v>
      </c>
      <c r="EO52" s="78">
        <f t="shared" si="14"/>
        <v>1.4775413711583973</v>
      </c>
      <c r="EP52" s="78">
        <f t="shared" ref="EP52:EP60" si="16">(1-BJ52/E52)*100</f>
        <v>4.7745358090185652</v>
      </c>
      <c r="EQ52" s="78">
        <f t="shared" si="15"/>
        <v>153.84615384615424</v>
      </c>
      <c r="ER52" s="79"/>
      <c r="ES52" s="66"/>
      <c r="ET52" s="138"/>
      <c r="EU52" s="139"/>
      <c r="EV52" s="79"/>
      <c r="EW52" s="139"/>
      <c r="EX52" s="66"/>
      <c r="EY52" s="66"/>
      <c r="EZ52" s="66"/>
      <c r="FA52" s="66"/>
      <c r="FB52" s="66"/>
    </row>
    <row r="53" spans="1:158" hidden="1" x14ac:dyDescent="0.3">
      <c r="A53" s="86">
        <v>44594</v>
      </c>
      <c r="B53" s="86"/>
      <c r="C53" s="93">
        <f>5*23.33</f>
        <v>116.64999999999999</v>
      </c>
      <c r="D53" s="93">
        <f>5*15.52</f>
        <v>77.599999999999994</v>
      </c>
      <c r="E53" s="93">
        <f>5*7.829</f>
        <v>39.144999999999996</v>
      </c>
      <c r="F53" s="69">
        <f t="shared" si="0"/>
        <v>39.049999999999997</v>
      </c>
      <c r="X53" s="72"/>
      <c r="Y53" s="73"/>
      <c r="Z53" s="73"/>
      <c r="AA53" s="72"/>
      <c r="AB53" s="72"/>
      <c r="AC53" s="72"/>
      <c r="AD53" s="72"/>
      <c r="AE53" s="72"/>
      <c r="AF53" s="72"/>
      <c r="AH53" s="94">
        <v>7.4</v>
      </c>
      <c r="AI53" s="95">
        <f>5*19.2</f>
        <v>96</v>
      </c>
      <c r="AJ53" s="95">
        <f>5*15.99</f>
        <v>79.95</v>
      </c>
      <c r="AK53" s="95">
        <f>5*5.654</f>
        <v>28.27</v>
      </c>
      <c r="AL53" s="87">
        <f t="shared" si="7"/>
        <v>16.049999999999997</v>
      </c>
      <c r="AW53" s="72"/>
      <c r="AX53" s="75"/>
      <c r="AY53" s="75"/>
      <c r="AZ53" s="75"/>
      <c r="BA53" s="75"/>
      <c r="BB53" s="72"/>
      <c r="BC53" s="72"/>
      <c r="BD53" s="72"/>
      <c r="BE53" s="72"/>
      <c r="BG53" s="94">
        <v>7.14</v>
      </c>
      <c r="BH53" s="93">
        <f>5*20.58</f>
        <v>102.89999999999999</v>
      </c>
      <c r="BI53" s="93">
        <f>5*15.44</f>
        <v>77.2</v>
      </c>
      <c r="BJ53" s="93">
        <f>5*4.912</f>
        <v>24.56</v>
      </c>
      <c r="BK53" s="88">
        <f t="shared" si="12"/>
        <v>25.699999999999989</v>
      </c>
      <c r="BL53" s="88"/>
      <c r="BM53" s="88"/>
      <c r="BN53" s="88"/>
      <c r="BO53" s="88"/>
      <c r="CC53" s="72"/>
      <c r="CD53" s="72"/>
      <c r="CE53" s="72"/>
      <c r="CF53" s="72"/>
      <c r="CG53" s="72"/>
      <c r="CH53" s="72"/>
      <c r="CI53" s="72"/>
      <c r="CJ53" s="72"/>
      <c r="CL53" s="94">
        <v>6.95</v>
      </c>
      <c r="CM53" s="69"/>
      <c r="CN53" s="69"/>
      <c r="CO53" s="69"/>
      <c r="CP53" s="69"/>
      <c r="CQ53" s="76"/>
      <c r="CR53" s="76"/>
      <c r="CS53" s="177"/>
      <c r="CT53" s="70"/>
      <c r="CU53" s="76"/>
      <c r="CV53" s="77"/>
      <c r="CW53" s="77"/>
      <c r="CX53" s="77"/>
      <c r="CY53" s="77"/>
      <c r="CZ53" s="77"/>
      <c r="DA53" s="66"/>
      <c r="DB53" s="66"/>
      <c r="DC53" s="66"/>
      <c r="DD53" s="66"/>
      <c r="DE53" s="66"/>
      <c r="DF53" s="66"/>
      <c r="DG53" s="66"/>
      <c r="DH53" s="66"/>
      <c r="DI53" s="168"/>
      <c r="DJ53" s="67"/>
      <c r="DK53" s="69"/>
      <c r="DL53" s="69"/>
      <c r="DM53" s="69"/>
      <c r="DN53" s="69"/>
      <c r="DO53" s="69"/>
      <c r="DP53" s="69"/>
      <c r="DQ53" s="69"/>
      <c r="DR53" s="69"/>
      <c r="DS53" s="70"/>
      <c r="DT53" s="70"/>
      <c r="DU53" s="70"/>
      <c r="DV53" s="177"/>
      <c r="DW53" s="177"/>
      <c r="DX53" s="70"/>
      <c r="DY53" s="70"/>
      <c r="DZ53" s="71"/>
      <c r="EA53" s="71"/>
      <c r="EB53" s="180"/>
      <c r="EC53" s="180"/>
      <c r="ED53" s="71"/>
      <c r="EE53" s="180"/>
      <c r="EF53" s="66"/>
      <c r="EG53" s="66"/>
      <c r="EH53" s="79"/>
      <c r="EI53" s="66"/>
      <c r="EJ53" s="79"/>
      <c r="EK53" s="66"/>
      <c r="EL53" s="168"/>
      <c r="EM53" s="67"/>
      <c r="EN53" s="78">
        <f t="shared" si="13"/>
        <v>11.787398199742826</v>
      </c>
      <c r="EO53" s="78">
        <f t="shared" si="14"/>
        <v>0.51546391752576026</v>
      </c>
      <c r="EP53" s="78">
        <f t="shared" si="16"/>
        <v>37.258909183803802</v>
      </c>
      <c r="EQ53" s="78">
        <f t="shared" si="15"/>
        <v>34.186939820742658</v>
      </c>
      <c r="ER53" s="79"/>
      <c r="ES53" s="66"/>
      <c r="ET53" s="138"/>
      <c r="EU53" s="139"/>
      <c r="EV53" s="79"/>
      <c r="EW53" s="139"/>
      <c r="EX53" s="66"/>
      <c r="EY53" s="66"/>
      <c r="EZ53" s="66"/>
      <c r="FA53" s="66"/>
      <c r="FB53" s="66"/>
    </row>
    <row r="54" spans="1:158" hidden="1" x14ac:dyDescent="0.3">
      <c r="A54" s="86">
        <v>44600</v>
      </c>
      <c r="B54" s="86"/>
      <c r="C54" s="93">
        <f>5*23.1</f>
        <v>115.5</v>
      </c>
      <c r="D54" s="93">
        <f>5*13.25</f>
        <v>66.25</v>
      </c>
      <c r="E54" s="93">
        <f>5*5.316</f>
        <v>26.58</v>
      </c>
      <c r="F54" s="69">
        <f t="shared" si="0"/>
        <v>49.25</v>
      </c>
      <c r="X54" s="72"/>
      <c r="Y54" s="73"/>
      <c r="Z54" s="73"/>
      <c r="AA54" s="72"/>
      <c r="AB54" s="72"/>
      <c r="AC54" s="72"/>
      <c r="AD54" s="72"/>
      <c r="AE54" s="72"/>
      <c r="AF54" s="72"/>
      <c r="AH54" s="94">
        <v>7.5</v>
      </c>
      <c r="AI54" s="95">
        <f>5*28.09</f>
        <v>140.44999999999999</v>
      </c>
      <c r="AJ54" s="95">
        <f>5*11.64</f>
        <v>58.2</v>
      </c>
      <c r="AK54" s="95">
        <f>5*4.894</f>
        <v>24.47</v>
      </c>
      <c r="AL54" s="87">
        <f t="shared" si="7"/>
        <v>82.249999999999986</v>
      </c>
      <c r="AW54" s="72"/>
      <c r="AX54" s="75"/>
      <c r="AY54" s="75"/>
      <c r="AZ54" s="75"/>
      <c r="BA54" s="75"/>
      <c r="BB54" s="72"/>
      <c r="BC54" s="72"/>
      <c r="BD54" s="72"/>
      <c r="BE54" s="72"/>
      <c r="BG54" s="94">
        <v>6.77</v>
      </c>
      <c r="BH54" s="93">
        <f>5*29.04</f>
        <v>145.19999999999999</v>
      </c>
      <c r="BI54" s="93">
        <f>5*12.11</f>
        <v>60.55</v>
      </c>
      <c r="BJ54" s="93">
        <f>5*5.203</f>
        <v>26.015000000000001</v>
      </c>
      <c r="BK54" s="88">
        <f t="shared" si="12"/>
        <v>84.649999999999991</v>
      </c>
      <c r="BL54" s="88"/>
      <c r="BM54" s="88"/>
      <c r="BN54" s="88"/>
      <c r="BO54" s="88"/>
      <c r="CC54" s="72"/>
      <c r="CD54" s="72"/>
      <c r="CE54" s="72"/>
      <c r="CF54" s="72"/>
      <c r="CG54" s="72"/>
      <c r="CH54" s="72"/>
      <c r="CI54" s="72"/>
      <c r="CJ54" s="72"/>
      <c r="CL54" s="94">
        <v>6.73</v>
      </c>
      <c r="CM54" s="69"/>
      <c r="CN54" s="69"/>
      <c r="CO54" s="69"/>
      <c r="CP54" s="69"/>
      <c r="CQ54" s="76"/>
      <c r="CR54" s="76"/>
      <c r="CS54" s="177"/>
      <c r="CT54" s="70"/>
      <c r="CU54" s="76"/>
      <c r="CV54" s="77"/>
      <c r="CW54" s="77"/>
      <c r="CX54" s="77"/>
      <c r="CY54" s="77"/>
      <c r="CZ54" s="77"/>
      <c r="DA54" s="66"/>
      <c r="DB54" s="66"/>
      <c r="DC54" s="66"/>
      <c r="DD54" s="66"/>
      <c r="DE54" s="66"/>
      <c r="DF54" s="66"/>
      <c r="DG54" s="66"/>
      <c r="DH54" s="66"/>
      <c r="DI54" s="168"/>
      <c r="DJ54" s="67"/>
      <c r="DK54" s="69"/>
      <c r="DL54" s="69"/>
      <c r="DM54" s="69"/>
      <c r="DN54" s="69"/>
      <c r="DO54" s="69"/>
      <c r="DP54" s="69"/>
      <c r="DQ54" s="69"/>
      <c r="DR54" s="69"/>
      <c r="DS54" s="70"/>
      <c r="DT54" s="70"/>
      <c r="DU54" s="70"/>
      <c r="DV54" s="177"/>
      <c r="DW54" s="177"/>
      <c r="DX54" s="70"/>
      <c r="DY54" s="70"/>
      <c r="DZ54" s="71"/>
      <c r="EA54" s="71"/>
      <c r="EB54" s="180"/>
      <c r="EC54" s="180"/>
      <c r="ED54" s="71"/>
      <c r="EE54" s="180"/>
      <c r="EF54" s="66"/>
      <c r="EG54" s="66"/>
      <c r="EH54" s="79"/>
      <c r="EI54" s="66"/>
      <c r="EJ54" s="79"/>
      <c r="EK54" s="66"/>
      <c r="EL54" s="168"/>
      <c r="EM54" s="67"/>
      <c r="EN54" s="78">
        <f t="shared" si="13"/>
        <v>-25.714285714285712</v>
      </c>
      <c r="EO54" s="78">
        <f t="shared" si="14"/>
        <v>8.6037735849056602</v>
      </c>
      <c r="EP54" s="78">
        <f t="shared" si="16"/>
        <v>2.125658389766738</v>
      </c>
      <c r="EQ54" s="78">
        <f t="shared" si="15"/>
        <v>-71.87817258883247</v>
      </c>
      <c r="ER54" s="79"/>
      <c r="ES54" s="66"/>
      <c r="ET54" s="138"/>
      <c r="EU54" s="139"/>
      <c r="EV54" s="79"/>
      <c r="EW54" s="139"/>
      <c r="EX54" s="66"/>
      <c r="EY54" s="66"/>
      <c r="EZ54" s="66"/>
      <c r="FA54" s="66"/>
      <c r="FB54" s="66"/>
    </row>
    <row r="55" spans="1:158" hidden="1" x14ac:dyDescent="0.3">
      <c r="A55" s="86">
        <v>44615</v>
      </c>
      <c r="B55" s="86"/>
      <c r="C55" s="93">
        <v>127.8</v>
      </c>
      <c r="D55" s="93">
        <v>43.8</v>
      </c>
      <c r="E55" s="93">
        <v>18.100000000000001</v>
      </c>
      <c r="F55" s="69">
        <f t="shared" si="0"/>
        <v>84</v>
      </c>
      <c r="X55" s="72">
        <f>Y55/E55</f>
        <v>19.64088397790055</v>
      </c>
      <c r="Y55" s="73">
        <f>AVERAGE(355,356)</f>
        <v>355.5</v>
      </c>
      <c r="Z55" s="73"/>
      <c r="AA55" s="72"/>
      <c r="AB55" s="72"/>
      <c r="AC55" s="72"/>
      <c r="AD55" s="72"/>
      <c r="AE55" s="72"/>
      <c r="AF55" s="72"/>
      <c r="AH55" s="94">
        <v>7.75</v>
      </c>
      <c r="AI55" s="95">
        <v>106.3</v>
      </c>
      <c r="AJ55" s="95">
        <v>43</v>
      </c>
      <c r="AK55" s="95">
        <v>15.1</v>
      </c>
      <c r="AL55" s="87">
        <f t="shared" si="7"/>
        <v>63.3</v>
      </c>
      <c r="AW55" s="72"/>
      <c r="AX55" s="75">
        <f>AVERAGE(355,351)</f>
        <v>353</v>
      </c>
      <c r="AY55" s="75"/>
      <c r="AZ55" s="75"/>
      <c r="BA55" s="75"/>
      <c r="BB55" s="72"/>
      <c r="BC55" s="72"/>
      <c r="BD55" s="72"/>
      <c r="BE55" s="72"/>
      <c r="BG55" s="94">
        <v>7.12</v>
      </c>
      <c r="BH55" s="93">
        <v>100.2</v>
      </c>
      <c r="BI55" s="93">
        <v>40</v>
      </c>
      <c r="BJ55" s="93">
        <v>16.3</v>
      </c>
      <c r="BK55" s="88">
        <f t="shared" si="12"/>
        <v>60.2</v>
      </c>
      <c r="BL55" s="88"/>
      <c r="BM55" s="88"/>
      <c r="BN55" s="88"/>
      <c r="BO55" s="88"/>
      <c r="CC55" s="72"/>
      <c r="CD55" s="72">
        <f>AVERAGE(313,312)</f>
        <v>312.5</v>
      </c>
      <c r="CE55" s="72"/>
      <c r="CF55" s="72"/>
      <c r="CG55" s="72"/>
      <c r="CH55" s="72"/>
      <c r="CI55" s="72"/>
      <c r="CJ55" s="72"/>
      <c r="CL55" s="94">
        <v>7.05</v>
      </c>
      <c r="CM55" s="69"/>
      <c r="CN55" s="69"/>
      <c r="CO55" s="69"/>
      <c r="CP55" s="69"/>
      <c r="CQ55" s="76"/>
      <c r="CR55" s="76"/>
      <c r="CS55" s="177"/>
      <c r="CT55" s="70"/>
      <c r="CU55" s="76"/>
      <c r="CV55" s="77"/>
      <c r="CW55" s="77"/>
      <c r="CX55" s="77"/>
      <c r="CY55" s="77"/>
      <c r="CZ55" s="77"/>
      <c r="DA55" s="66"/>
      <c r="DB55" s="66"/>
      <c r="DC55" s="66"/>
      <c r="DD55" s="66"/>
      <c r="DE55" s="66"/>
      <c r="DF55" s="66"/>
      <c r="DG55" s="66"/>
      <c r="DH55" s="66"/>
      <c r="DI55" s="168"/>
      <c r="DJ55" s="67"/>
      <c r="DK55" s="69"/>
      <c r="DL55" s="69"/>
      <c r="DM55" s="69"/>
      <c r="DN55" s="69"/>
      <c r="DO55" s="69"/>
      <c r="DP55" s="69"/>
      <c r="DQ55" s="69"/>
      <c r="DR55" s="69"/>
      <c r="DS55" s="70"/>
      <c r="DT55" s="70"/>
      <c r="DU55" s="70"/>
      <c r="DV55" s="177"/>
      <c r="DW55" s="177"/>
      <c r="DX55" s="70"/>
      <c r="DY55" s="70"/>
      <c r="DZ55" s="71"/>
      <c r="EA55" s="71"/>
      <c r="EB55" s="180"/>
      <c r="EC55" s="180"/>
      <c r="ED55" s="71"/>
      <c r="EE55" s="180"/>
      <c r="EF55" s="66"/>
      <c r="EG55" s="66"/>
      <c r="EH55" s="79"/>
      <c r="EI55" s="66"/>
      <c r="EJ55" s="79"/>
      <c r="EK55" s="66"/>
      <c r="EL55" s="168"/>
      <c r="EM55" s="67"/>
      <c r="EN55" s="78">
        <f t="shared" si="13"/>
        <v>21.5962441314554</v>
      </c>
      <c r="EO55" s="78">
        <f t="shared" si="14"/>
        <v>8.6757990867579853</v>
      </c>
      <c r="EP55" s="78">
        <f t="shared" si="16"/>
        <v>9.9447513812154771</v>
      </c>
      <c r="EQ55" s="78">
        <f t="shared" si="15"/>
        <v>28.333333333333332</v>
      </c>
      <c r="ER55" s="79"/>
      <c r="ES55" s="66"/>
      <c r="ET55" s="138"/>
      <c r="EU55" s="139"/>
      <c r="EV55" s="79"/>
      <c r="EW55" s="139"/>
      <c r="EX55" s="66"/>
      <c r="EY55" s="66"/>
      <c r="EZ55" s="66"/>
      <c r="FA55" s="66"/>
      <c r="FB55" s="66"/>
    </row>
    <row r="56" spans="1:158" hidden="1" x14ac:dyDescent="0.3">
      <c r="A56" s="86">
        <v>44629</v>
      </c>
      <c r="B56" s="86"/>
      <c r="C56" s="93">
        <v>128</v>
      </c>
      <c r="D56" s="93">
        <v>61.6</v>
      </c>
      <c r="E56" s="93">
        <v>17.600000000000001</v>
      </c>
      <c r="F56" s="69">
        <f t="shared" si="0"/>
        <v>66.400000000000006</v>
      </c>
      <c r="X56" s="72">
        <f t="shared" ref="X56:X61" si="17">Y56/E56</f>
        <v>11.022727272727272</v>
      </c>
      <c r="Y56" s="73">
        <v>194</v>
      </c>
      <c r="Z56" s="73"/>
      <c r="AA56" s="72"/>
      <c r="AB56" s="72"/>
      <c r="AC56" s="72"/>
      <c r="AD56" s="72"/>
      <c r="AE56" s="72"/>
      <c r="AF56" s="72"/>
      <c r="AH56" s="94">
        <v>7.86</v>
      </c>
      <c r="AI56" s="95">
        <v>133.69999999999999</v>
      </c>
      <c r="AJ56" s="95">
        <v>62.4</v>
      </c>
      <c r="AK56" s="95">
        <v>16</v>
      </c>
      <c r="AL56" s="87">
        <f t="shared" si="7"/>
        <v>71.299999999999983</v>
      </c>
      <c r="AW56" s="72"/>
      <c r="AX56" s="75">
        <v>209</v>
      </c>
      <c r="AY56" s="75"/>
      <c r="AZ56" s="75"/>
      <c r="BA56" s="75"/>
      <c r="BB56" s="72"/>
      <c r="BC56" s="72"/>
      <c r="BD56" s="72"/>
      <c r="BE56" s="72"/>
      <c r="BG56" s="94">
        <v>6.89</v>
      </c>
      <c r="BH56" s="93">
        <v>131</v>
      </c>
      <c r="BI56" s="93">
        <v>60.3</v>
      </c>
      <c r="BJ56" s="93">
        <v>15.7</v>
      </c>
      <c r="BK56" s="88">
        <f t="shared" si="12"/>
        <v>70.7</v>
      </c>
      <c r="BL56" s="88"/>
      <c r="BM56" s="88"/>
      <c r="BN56" s="88"/>
      <c r="BO56" s="88"/>
      <c r="CC56" s="72"/>
      <c r="CD56" s="72">
        <f>AVERAGE(225,238,230)</f>
        <v>231</v>
      </c>
      <c r="CE56" s="72"/>
      <c r="CF56" s="72"/>
      <c r="CG56" s="72"/>
      <c r="CH56" s="72"/>
      <c r="CI56" s="72"/>
      <c r="CJ56" s="72"/>
      <c r="CL56" s="94">
        <v>6.97</v>
      </c>
      <c r="CM56" s="69"/>
      <c r="CN56" s="69"/>
      <c r="CO56" s="69"/>
      <c r="CP56" s="69"/>
      <c r="CQ56" s="76"/>
      <c r="CR56" s="76"/>
      <c r="CS56" s="177"/>
      <c r="CT56" s="70"/>
      <c r="CU56" s="76"/>
      <c r="CV56" s="77"/>
      <c r="CW56" s="77"/>
      <c r="CX56" s="77"/>
      <c r="CY56" s="77"/>
      <c r="CZ56" s="77"/>
      <c r="DA56" s="66"/>
      <c r="DB56" s="66"/>
      <c r="DC56" s="66"/>
      <c r="DD56" s="66"/>
      <c r="DE56" s="66"/>
      <c r="DF56" s="66"/>
      <c r="DG56" s="66"/>
      <c r="DH56" s="66"/>
      <c r="DI56" s="168"/>
      <c r="DJ56" s="67"/>
      <c r="DK56" s="69"/>
      <c r="DL56" s="69"/>
      <c r="DM56" s="69"/>
      <c r="DN56" s="69"/>
      <c r="DO56" s="69"/>
      <c r="DP56" s="69"/>
      <c r="DQ56" s="69"/>
      <c r="DR56" s="69"/>
      <c r="DS56" s="70"/>
      <c r="DT56" s="70"/>
      <c r="DU56" s="70"/>
      <c r="DV56" s="177"/>
      <c r="DW56" s="177"/>
      <c r="DX56" s="70"/>
      <c r="DY56" s="70"/>
      <c r="DZ56" s="71"/>
      <c r="EA56" s="71"/>
      <c r="EB56" s="180"/>
      <c r="EC56" s="180"/>
      <c r="ED56" s="71"/>
      <c r="EE56" s="180"/>
      <c r="EF56" s="66"/>
      <c r="EG56" s="66"/>
      <c r="EH56" s="79"/>
      <c r="EI56" s="66"/>
      <c r="EJ56" s="79"/>
      <c r="EK56" s="66"/>
      <c r="EL56" s="168"/>
      <c r="EM56" s="67"/>
      <c r="EN56" s="78">
        <f t="shared" si="13"/>
        <v>-2.34375</v>
      </c>
      <c r="EO56" s="78">
        <f t="shared" si="14"/>
        <v>2.110389610389618</v>
      </c>
      <c r="EP56" s="78">
        <f t="shared" si="16"/>
        <v>10.795454545454552</v>
      </c>
      <c r="EQ56" s="78">
        <f t="shared" si="15"/>
        <v>-6.475903614457823</v>
      </c>
      <c r="ER56" s="79"/>
      <c r="ES56" s="66"/>
      <c r="ET56" s="138"/>
      <c r="EU56" s="139"/>
      <c r="EV56" s="79"/>
      <c r="EW56" s="139"/>
      <c r="EX56" s="66"/>
      <c r="EY56" s="66"/>
      <c r="EZ56" s="66"/>
      <c r="FA56" s="66"/>
      <c r="FB56" s="66"/>
    </row>
    <row r="57" spans="1:158" hidden="1" x14ac:dyDescent="0.3">
      <c r="A57" s="86">
        <v>44635</v>
      </c>
      <c r="B57" s="86"/>
      <c r="C57" s="93">
        <v>137.69999999999999</v>
      </c>
      <c r="D57" s="93">
        <v>58</v>
      </c>
      <c r="E57" s="93">
        <v>19.3</v>
      </c>
      <c r="F57" s="69">
        <f t="shared" si="0"/>
        <v>79.699999999999989</v>
      </c>
      <c r="X57" s="72">
        <f t="shared" si="17"/>
        <v>25.259067357512951</v>
      </c>
      <c r="Y57" s="73">
        <f>AVERAGE(489,486)</f>
        <v>487.5</v>
      </c>
      <c r="Z57" s="73"/>
      <c r="AA57" s="72"/>
      <c r="AB57" s="72"/>
      <c r="AC57" s="72"/>
      <c r="AD57" s="72"/>
      <c r="AE57" s="72"/>
      <c r="AF57" s="72"/>
      <c r="AH57" s="74">
        <v>7.77</v>
      </c>
      <c r="AI57" s="95">
        <v>126.9</v>
      </c>
      <c r="AJ57" s="95">
        <v>59.3</v>
      </c>
      <c r="AK57" s="95">
        <v>17.8</v>
      </c>
      <c r="AL57" s="87">
        <f t="shared" si="7"/>
        <v>67.600000000000009</v>
      </c>
      <c r="AW57" s="72"/>
      <c r="AX57" s="75">
        <f>AVERAGE(341,365,398,336,365,367,359,369)</f>
        <v>362.5</v>
      </c>
      <c r="AY57" s="75"/>
      <c r="AZ57" s="75"/>
      <c r="BA57" s="75"/>
      <c r="BB57" s="72"/>
      <c r="BC57" s="72"/>
      <c r="BD57" s="72"/>
      <c r="BE57" s="72"/>
      <c r="BG57" s="74">
        <v>7.32</v>
      </c>
      <c r="BH57" s="93">
        <v>128.5</v>
      </c>
      <c r="BI57" s="93">
        <v>55.5</v>
      </c>
      <c r="BJ57" s="93">
        <v>17.3</v>
      </c>
      <c r="BK57" s="88">
        <f t="shared" si="12"/>
        <v>73</v>
      </c>
      <c r="BL57" s="88"/>
      <c r="BM57" s="88"/>
      <c r="BN57" s="88"/>
      <c r="BO57" s="88"/>
      <c r="CC57" s="72"/>
      <c r="CD57" s="72">
        <v>369</v>
      </c>
      <c r="CE57" s="72"/>
      <c r="CF57" s="72"/>
      <c r="CG57" s="72"/>
      <c r="CH57" s="72"/>
      <c r="CI57" s="72"/>
      <c r="CJ57" s="72"/>
      <c r="CL57" s="74">
        <v>7.29</v>
      </c>
      <c r="CM57" s="69"/>
      <c r="CN57" s="69"/>
      <c r="CO57" s="69"/>
      <c r="CP57" s="69"/>
      <c r="CQ57" s="76"/>
      <c r="CR57" s="76"/>
      <c r="CS57" s="177"/>
      <c r="CT57" s="70"/>
      <c r="CU57" s="76"/>
      <c r="CV57" s="77"/>
      <c r="CW57" s="77"/>
      <c r="CX57" s="77"/>
      <c r="CY57" s="77"/>
      <c r="CZ57" s="77"/>
      <c r="DA57" s="66"/>
      <c r="DB57" s="66"/>
      <c r="DC57" s="66"/>
      <c r="DD57" s="66"/>
      <c r="DE57" s="66"/>
      <c r="DF57" s="66"/>
      <c r="DG57" s="66"/>
      <c r="DH57" s="66"/>
      <c r="DI57" s="168"/>
      <c r="DJ57" s="67"/>
      <c r="DK57" s="69"/>
      <c r="DL57" s="69"/>
      <c r="DM57" s="69"/>
      <c r="DN57" s="69"/>
      <c r="DO57" s="69"/>
      <c r="DP57" s="69"/>
      <c r="DQ57" s="69"/>
      <c r="DR57" s="69"/>
      <c r="DS57" s="70"/>
      <c r="DT57" s="70"/>
      <c r="DU57" s="70"/>
      <c r="DV57" s="177"/>
      <c r="DW57" s="177"/>
      <c r="DX57" s="70"/>
      <c r="DY57" s="70"/>
      <c r="DZ57" s="71"/>
      <c r="EA57" s="71"/>
      <c r="EB57" s="180"/>
      <c r="EC57" s="180"/>
      <c r="ED57" s="71"/>
      <c r="EE57" s="180"/>
      <c r="EF57" s="66"/>
      <c r="EG57" s="66"/>
      <c r="EH57" s="79"/>
      <c r="EI57" s="66"/>
      <c r="EJ57" s="79"/>
      <c r="EK57" s="66"/>
      <c r="EL57" s="168"/>
      <c r="EM57" s="67"/>
      <c r="EN57" s="78">
        <f t="shared" si="13"/>
        <v>6.6811909949164754</v>
      </c>
      <c r="EO57" s="78">
        <f t="shared" si="14"/>
        <v>4.31034482758621</v>
      </c>
      <c r="EP57" s="78">
        <f t="shared" si="16"/>
        <v>10.362694300518138</v>
      </c>
      <c r="EQ57" s="78">
        <f t="shared" si="15"/>
        <v>8.4065244667502981</v>
      </c>
      <c r="ER57" s="79"/>
      <c r="ES57" s="66"/>
      <c r="ET57" s="138"/>
      <c r="EU57" s="139"/>
      <c r="EV57" s="79"/>
      <c r="EW57" s="139"/>
      <c r="EX57" s="66"/>
      <c r="EY57" s="66"/>
      <c r="EZ57" s="66"/>
      <c r="FA57" s="66"/>
      <c r="FB57" s="66"/>
    </row>
    <row r="58" spans="1:158" hidden="1" x14ac:dyDescent="0.3">
      <c r="A58" s="86">
        <v>44642</v>
      </c>
      <c r="B58" s="86"/>
      <c r="C58" s="93">
        <v>122.2</v>
      </c>
      <c r="D58" s="93">
        <v>64.3</v>
      </c>
      <c r="E58" s="93">
        <v>20.2</v>
      </c>
      <c r="F58" s="69">
        <f t="shared" si="0"/>
        <v>57.900000000000006</v>
      </c>
      <c r="X58" s="72">
        <f t="shared" si="17"/>
        <v>14.10891089108911</v>
      </c>
      <c r="Y58" s="73">
        <f>57*5</f>
        <v>285</v>
      </c>
      <c r="Z58" s="73"/>
      <c r="AA58" s="72"/>
      <c r="AB58" s="72"/>
      <c r="AC58" s="72"/>
      <c r="AD58" s="72"/>
      <c r="AE58" s="72"/>
      <c r="AF58" s="72"/>
      <c r="AH58" s="74">
        <v>7.83</v>
      </c>
      <c r="AI58" s="95">
        <v>105.2</v>
      </c>
      <c r="AJ58" s="95">
        <v>65.7</v>
      </c>
      <c r="AK58" s="95">
        <v>17.2</v>
      </c>
      <c r="AL58" s="87">
        <f t="shared" si="7"/>
        <v>39.5</v>
      </c>
      <c r="AW58" s="72"/>
      <c r="AX58" s="75">
        <f>46.5*5</f>
        <v>232.5</v>
      </c>
      <c r="AY58" s="75"/>
      <c r="AZ58" s="75"/>
      <c r="BA58" s="75"/>
      <c r="BB58" s="72"/>
      <c r="BC58" s="72"/>
      <c r="BD58" s="72"/>
      <c r="BE58" s="72"/>
      <c r="BG58" s="74">
        <v>7.39</v>
      </c>
      <c r="BH58" s="93">
        <v>104.2</v>
      </c>
      <c r="BI58" s="93">
        <v>63.5</v>
      </c>
      <c r="BJ58" s="93">
        <v>16.600000000000001</v>
      </c>
      <c r="BK58" s="88">
        <f t="shared" si="12"/>
        <v>40.700000000000003</v>
      </c>
      <c r="BL58" s="88"/>
      <c r="BM58" s="88"/>
      <c r="BN58" s="88"/>
      <c r="BO58" s="88"/>
      <c r="CC58" s="72"/>
      <c r="CD58" s="72">
        <f>44*5</f>
        <v>220</v>
      </c>
      <c r="CE58" s="72"/>
      <c r="CF58" s="72"/>
      <c r="CG58" s="72"/>
      <c r="CH58" s="72"/>
      <c r="CI58" s="72"/>
      <c r="CJ58" s="72"/>
      <c r="CL58" s="74">
        <v>7.27</v>
      </c>
      <c r="CM58" s="69"/>
      <c r="CN58" s="69"/>
      <c r="CO58" s="69"/>
      <c r="CP58" s="69"/>
      <c r="CQ58" s="76"/>
      <c r="CR58" s="76"/>
      <c r="CS58" s="177"/>
      <c r="CT58" s="70"/>
      <c r="CU58" s="76"/>
      <c r="CV58" s="77"/>
      <c r="CW58" s="77"/>
      <c r="CX58" s="77"/>
      <c r="CY58" s="77"/>
      <c r="CZ58" s="77"/>
      <c r="DA58" s="66"/>
      <c r="DB58" s="66"/>
      <c r="DC58" s="66"/>
      <c r="DD58" s="66"/>
      <c r="DE58" s="66"/>
      <c r="DF58" s="66"/>
      <c r="DG58" s="66"/>
      <c r="DH58" s="66"/>
      <c r="DI58" s="168"/>
      <c r="DJ58" s="67"/>
      <c r="DK58" s="69"/>
      <c r="DL58" s="69"/>
      <c r="DM58" s="69"/>
      <c r="DN58" s="69"/>
      <c r="DO58" s="69"/>
      <c r="DP58" s="69"/>
      <c r="DQ58" s="69"/>
      <c r="DR58" s="69"/>
      <c r="DS58" s="70"/>
      <c r="DT58" s="70"/>
      <c r="DU58" s="70"/>
      <c r="DV58" s="177"/>
      <c r="DW58" s="177"/>
      <c r="DX58" s="70"/>
      <c r="DY58" s="70"/>
      <c r="DZ58" s="71"/>
      <c r="EA58" s="71"/>
      <c r="EB58" s="180"/>
      <c r="EC58" s="180"/>
      <c r="ED58" s="71"/>
      <c r="EE58" s="180"/>
      <c r="EF58" s="66"/>
      <c r="EG58" s="66"/>
      <c r="EH58" s="79"/>
      <c r="EI58" s="66"/>
      <c r="EJ58" s="79"/>
      <c r="EK58" s="66"/>
      <c r="EL58" s="168"/>
      <c r="EM58" s="67"/>
      <c r="EN58" s="78">
        <f t="shared" si="13"/>
        <v>14.729950900163669</v>
      </c>
      <c r="EO58" s="78">
        <f t="shared" si="14"/>
        <v>1.244167962674958</v>
      </c>
      <c r="EP58" s="78">
        <f t="shared" si="16"/>
        <v>17.821782178217816</v>
      </c>
      <c r="EQ58" s="78">
        <f t="shared" si="15"/>
        <v>29.70639032815199</v>
      </c>
      <c r="ER58" s="79"/>
      <c r="ES58" s="66"/>
      <c r="ET58" s="138"/>
      <c r="EU58" s="139"/>
      <c r="EV58" s="79"/>
      <c r="EW58" s="139"/>
      <c r="EX58" s="66"/>
      <c r="EY58" s="66"/>
      <c r="EZ58" s="66"/>
      <c r="FA58" s="66"/>
      <c r="FB58" s="66"/>
    </row>
    <row r="59" spans="1:158" hidden="1" x14ac:dyDescent="0.3">
      <c r="A59" s="86">
        <v>44649</v>
      </c>
      <c r="B59" s="86"/>
      <c r="C59" s="93">
        <v>120.9</v>
      </c>
      <c r="D59" s="93">
        <v>52.7</v>
      </c>
      <c r="E59" s="93">
        <v>15.7</v>
      </c>
      <c r="F59" s="69">
        <f t="shared" si="0"/>
        <v>68.2</v>
      </c>
      <c r="X59" s="72">
        <f t="shared" si="17"/>
        <v>18.471337579617835</v>
      </c>
      <c r="Y59" s="73">
        <f>58*5</f>
        <v>290</v>
      </c>
      <c r="Z59" s="73"/>
      <c r="AA59" s="72"/>
      <c r="AB59" s="72"/>
      <c r="AC59" s="72"/>
      <c r="AD59" s="72"/>
      <c r="AE59" s="72"/>
      <c r="AF59" s="72"/>
      <c r="AH59" s="74">
        <v>7.59</v>
      </c>
      <c r="AI59" s="95">
        <v>101.7</v>
      </c>
      <c r="AJ59" s="95">
        <v>51.5</v>
      </c>
      <c r="AK59" s="95">
        <v>12.9</v>
      </c>
      <c r="AL59" s="87">
        <f t="shared" si="7"/>
        <v>50.2</v>
      </c>
      <c r="AW59" s="72"/>
      <c r="AX59" s="75">
        <f>39.5*5</f>
        <v>197.5</v>
      </c>
      <c r="AY59" s="75"/>
      <c r="AZ59" s="75"/>
      <c r="BA59" s="75"/>
      <c r="BB59" s="72"/>
      <c r="BC59" s="72"/>
      <c r="BD59" s="72"/>
      <c r="BE59" s="72"/>
      <c r="BG59" s="74">
        <v>6.94</v>
      </c>
      <c r="BH59" s="93">
        <v>98.7</v>
      </c>
      <c r="BI59" s="93">
        <v>49.8</v>
      </c>
      <c r="BJ59" s="93">
        <v>12.9</v>
      </c>
      <c r="BK59" s="88">
        <f t="shared" si="12"/>
        <v>48.900000000000006</v>
      </c>
      <c r="BL59" s="88"/>
      <c r="BM59" s="88"/>
      <c r="BN59" s="88"/>
      <c r="BO59" s="88"/>
      <c r="CC59" s="72"/>
      <c r="CD59" s="72">
        <f>42*5</f>
        <v>210</v>
      </c>
      <c r="CE59" s="72"/>
      <c r="CF59" s="72"/>
      <c r="CG59" s="72"/>
      <c r="CH59" s="72"/>
      <c r="CI59" s="72"/>
      <c r="CJ59" s="72"/>
      <c r="CL59" s="74">
        <v>7</v>
      </c>
      <c r="CM59" s="69"/>
      <c r="CN59" s="69"/>
      <c r="CO59" s="69"/>
      <c r="CP59" s="69"/>
      <c r="CQ59" s="76"/>
      <c r="CR59" s="76"/>
      <c r="CS59" s="177"/>
      <c r="CT59" s="70"/>
      <c r="CU59" s="76"/>
      <c r="CV59" s="77"/>
      <c r="CW59" s="77"/>
      <c r="CX59" s="77"/>
      <c r="CY59" s="77"/>
      <c r="CZ59" s="77"/>
      <c r="DA59" s="66"/>
      <c r="DB59" s="66"/>
      <c r="DC59" s="66"/>
      <c r="DD59" s="66"/>
      <c r="DE59" s="66"/>
      <c r="DF59" s="66"/>
      <c r="DG59" s="66"/>
      <c r="DH59" s="66"/>
      <c r="DI59" s="168"/>
      <c r="DJ59" s="67"/>
      <c r="DK59" s="69"/>
      <c r="DL59" s="69"/>
      <c r="DM59" s="69"/>
      <c r="DN59" s="69"/>
      <c r="DO59" s="69"/>
      <c r="DP59" s="69"/>
      <c r="DQ59" s="69"/>
      <c r="DR59" s="69"/>
      <c r="DS59" s="70"/>
      <c r="DT59" s="70"/>
      <c r="DU59" s="70"/>
      <c r="DV59" s="177"/>
      <c r="DW59" s="177"/>
      <c r="DX59" s="70"/>
      <c r="DY59" s="70"/>
      <c r="DZ59" s="71"/>
      <c r="EA59" s="71"/>
      <c r="EB59" s="180"/>
      <c r="EC59" s="180"/>
      <c r="ED59" s="71"/>
      <c r="EE59" s="180"/>
      <c r="EF59" s="66"/>
      <c r="EG59" s="66"/>
      <c r="EH59" s="79"/>
      <c r="EI59" s="66"/>
      <c r="EJ59" s="79"/>
      <c r="EK59" s="66"/>
      <c r="EL59" s="168"/>
      <c r="EM59" s="67"/>
      <c r="EN59" s="78">
        <f t="shared" si="13"/>
        <v>18.362282878411918</v>
      </c>
      <c r="EO59" s="78">
        <f t="shared" si="14"/>
        <v>5.5028462998102601</v>
      </c>
      <c r="EP59" s="78">
        <f t="shared" si="16"/>
        <v>17.834394904458595</v>
      </c>
      <c r="EQ59" s="78">
        <f t="shared" si="15"/>
        <v>28.299120234604104</v>
      </c>
      <c r="ER59" s="79"/>
      <c r="ES59" s="66"/>
      <c r="ET59" s="138"/>
      <c r="EU59" s="139"/>
      <c r="EV59" s="79"/>
      <c r="EW59" s="139"/>
      <c r="EX59" s="66"/>
      <c r="EY59" s="66"/>
      <c r="EZ59" s="66"/>
      <c r="FA59" s="66"/>
      <c r="FB59" s="66"/>
    </row>
    <row r="60" spans="1:158" hidden="1" x14ac:dyDescent="0.3">
      <c r="A60" s="86">
        <v>44656</v>
      </c>
      <c r="B60" s="86"/>
      <c r="C60" s="96">
        <v>141.30000000000001</v>
      </c>
      <c r="D60" s="96">
        <v>54.1</v>
      </c>
      <c r="E60" s="96">
        <v>20.2</v>
      </c>
      <c r="F60" s="69">
        <f t="shared" si="0"/>
        <v>87.200000000000017</v>
      </c>
      <c r="X60" s="72">
        <f t="shared" si="17"/>
        <v>18.688118811881189</v>
      </c>
      <c r="Y60" s="73">
        <f>75.5*5</f>
        <v>377.5</v>
      </c>
      <c r="Z60" s="73"/>
      <c r="AA60" s="72"/>
      <c r="AB60" s="72"/>
      <c r="AC60" s="72"/>
      <c r="AD60" s="72"/>
      <c r="AE60" s="72"/>
      <c r="AF60" s="72"/>
      <c r="AH60" s="74">
        <v>7.4</v>
      </c>
      <c r="AI60" s="97">
        <v>110.6</v>
      </c>
      <c r="AJ60" s="97">
        <v>45.1</v>
      </c>
      <c r="AK60" s="97">
        <v>13.6</v>
      </c>
      <c r="AL60" s="87">
        <f t="shared" si="7"/>
        <v>65.5</v>
      </c>
      <c r="AW60" s="72"/>
      <c r="AX60" s="75">
        <f>AVERAGE(58,53,57)*5</f>
        <v>280</v>
      </c>
      <c r="AY60" s="75"/>
      <c r="AZ60" s="75"/>
      <c r="BA60" s="75"/>
      <c r="BB60" s="72"/>
      <c r="BC60" s="72"/>
      <c r="BD60" s="72"/>
      <c r="BE60" s="72"/>
      <c r="BG60" s="74">
        <v>7.11</v>
      </c>
      <c r="BH60" s="96">
        <v>111.7</v>
      </c>
      <c r="BI60" s="96">
        <v>44.6</v>
      </c>
      <c r="BJ60" s="96">
        <v>13.4</v>
      </c>
      <c r="BK60" s="88">
        <f t="shared" si="12"/>
        <v>67.099999999999994</v>
      </c>
      <c r="BL60" s="88"/>
      <c r="BM60" s="88"/>
      <c r="BN60" s="88"/>
      <c r="BO60" s="88"/>
      <c r="CC60" s="72"/>
      <c r="CD60" s="72">
        <f>60*5</f>
        <v>300</v>
      </c>
      <c r="CE60" s="72"/>
      <c r="CF60" s="72"/>
      <c r="CG60" s="72"/>
      <c r="CH60" s="72"/>
      <c r="CI60" s="72"/>
      <c r="CJ60" s="72"/>
      <c r="CL60" s="74">
        <v>7.16</v>
      </c>
      <c r="CM60" s="69"/>
      <c r="CN60" s="69"/>
      <c r="CO60" s="69"/>
      <c r="CP60" s="69"/>
      <c r="CQ60" s="76"/>
      <c r="CR60" s="76"/>
      <c r="CS60" s="177"/>
      <c r="CT60" s="70"/>
      <c r="CU60" s="76"/>
      <c r="CV60" s="77"/>
      <c r="CW60" s="77"/>
      <c r="CX60" s="77"/>
      <c r="CY60" s="77"/>
      <c r="CZ60" s="77"/>
      <c r="DA60" s="66"/>
      <c r="DB60" s="66"/>
      <c r="DC60" s="66"/>
      <c r="DD60" s="66"/>
      <c r="DE60" s="66"/>
      <c r="DF60" s="66"/>
      <c r="DG60" s="66"/>
      <c r="DH60" s="66"/>
      <c r="DI60" s="168"/>
      <c r="DJ60" s="67"/>
      <c r="DK60" s="69"/>
      <c r="DL60" s="69"/>
      <c r="DM60" s="69"/>
      <c r="DN60" s="69"/>
      <c r="DO60" s="69"/>
      <c r="DP60" s="69"/>
      <c r="DQ60" s="69"/>
      <c r="DR60" s="69"/>
      <c r="DS60" s="70"/>
      <c r="DT60" s="70"/>
      <c r="DU60" s="70"/>
      <c r="DV60" s="177"/>
      <c r="DW60" s="177"/>
      <c r="DX60" s="70"/>
      <c r="DY60" s="70"/>
      <c r="DZ60" s="71"/>
      <c r="EA60" s="71"/>
      <c r="EB60" s="180"/>
      <c r="EC60" s="180"/>
      <c r="ED60" s="71"/>
      <c r="EE60" s="180"/>
      <c r="EF60" s="66"/>
      <c r="EG60" s="66"/>
      <c r="EH60" s="79"/>
      <c r="EI60" s="66"/>
      <c r="EJ60" s="79"/>
      <c r="EK60" s="66"/>
      <c r="EL60" s="168"/>
      <c r="EM60" s="67"/>
      <c r="EN60" s="78">
        <f t="shared" si="13"/>
        <v>20.948336871903749</v>
      </c>
      <c r="EO60" s="78">
        <f t="shared" si="14"/>
        <v>17.560073937153419</v>
      </c>
      <c r="EP60" s="78">
        <f t="shared" si="16"/>
        <v>33.663366336633658</v>
      </c>
      <c r="EQ60" s="78">
        <f t="shared" si="15"/>
        <v>23.050458715596356</v>
      </c>
      <c r="ER60" s="79"/>
      <c r="ES60" s="66"/>
      <c r="ET60" s="66"/>
      <c r="EU60" s="66"/>
      <c r="EV60" s="79"/>
      <c r="EW60" s="66"/>
      <c r="EX60" s="66"/>
      <c r="EY60" s="66"/>
      <c r="EZ60" s="66"/>
      <c r="FA60" s="66"/>
      <c r="FB60" s="66"/>
    </row>
    <row r="61" spans="1:158" hidden="1" x14ac:dyDescent="0.3">
      <c r="A61" s="86">
        <v>44663</v>
      </c>
      <c r="B61" s="86"/>
      <c r="C61" s="96">
        <v>112.93</v>
      </c>
      <c r="D61" s="93">
        <v>42.1</v>
      </c>
      <c r="E61" s="93">
        <v>17.14</v>
      </c>
      <c r="F61" s="69">
        <f t="shared" si="0"/>
        <v>70.830000000000013</v>
      </c>
      <c r="X61" s="72">
        <f t="shared" si="17"/>
        <v>16.627771295215869</v>
      </c>
      <c r="Y61" s="73">
        <f>57*5</f>
        <v>285</v>
      </c>
      <c r="Z61" s="73"/>
      <c r="AA61" s="72"/>
      <c r="AB61" s="72"/>
      <c r="AC61" s="72"/>
      <c r="AD61" s="72"/>
      <c r="AE61" s="72"/>
      <c r="AF61" s="72"/>
      <c r="AH61" s="74">
        <v>7.47</v>
      </c>
      <c r="AI61" s="97">
        <v>92.01</v>
      </c>
      <c r="AJ61" s="97">
        <v>50.16</v>
      </c>
      <c r="AK61" s="97">
        <v>13.94</v>
      </c>
      <c r="AL61" s="87">
        <f t="shared" si="7"/>
        <v>41.850000000000009</v>
      </c>
      <c r="AW61" s="72"/>
      <c r="AX61" s="75">
        <f>38*5</f>
        <v>190</v>
      </c>
      <c r="AY61" s="75"/>
      <c r="AZ61" s="75"/>
      <c r="BA61" s="75"/>
      <c r="BB61" s="72"/>
      <c r="BC61" s="72"/>
      <c r="BD61" s="72"/>
      <c r="BE61" s="72"/>
      <c r="BG61" s="74">
        <v>6.78</v>
      </c>
      <c r="BH61" s="93">
        <v>97.92</v>
      </c>
      <c r="BI61" s="93">
        <v>53.2</v>
      </c>
      <c r="BJ61" s="93">
        <v>13.67</v>
      </c>
      <c r="BK61" s="88">
        <f t="shared" si="12"/>
        <v>44.72</v>
      </c>
      <c r="BL61" s="88"/>
      <c r="BM61" s="88"/>
      <c r="BN61" s="88"/>
      <c r="BO61" s="88"/>
      <c r="CC61" s="72"/>
      <c r="CD61" s="72">
        <f>37*5</f>
        <v>185</v>
      </c>
      <c r="CE61" s="72"/>
      <c r="CF61" s="72"/>
      <c r="CG61" s="72"/>
      <c r="CH61" s="72"/>
      <c r="CI61" s="72"/>
      <c r="CJ61" s="72"/>
      <c r="CL61" s="74">
        <v>6.74</v>
      </c>
      <c r="CM61" s="69"/>
      <c r="CN61" s="69"/>
      <c r="CO61" s="69"/>
      <c r="CP61" s="69"/>
      <c r="CQ61" s="76"/>
      <c r="CR61" s="76"/>
      <c r="CS61" s="177"/>
      <c r="CT61" s="70"/>
      <c r="CU61" s="76"/>
      <c r="CV61" s="77"/>
      <c r="CW61" s="77"/>
      <c r="CX61" s="77"/>
      <c r="CY61" s="77"/>
      <c r="CZ61" s="77"/>
      <c r="DA61" s="66"/>
      <c r="DB61" s="66"/>
      <c r="DC61" s="66"/>
      <c r="DD61" s="66"/>
      <c r="DE61" s="66"/>
      <c r="DF61" s="66"/>
      <c r="DG61" s="66"/>
      <c r="DH61" s="66"/>
      <c r="DI61" s="168"/>
      <c r="DJ61" s="67"/>
      <c r="DK61" s="69"/>
      <c r="DL61" s="69"/>
      <c r="DM61" s="69"/>
      <c r="DN61" s="69"/>
      <c r="DO61" s="69"/>
      <c r="DP61" s="69"/>
      <c r="DQ61" s="69"/>
      <c r="DR61" s="69"/>
      <c r="DS61" s="70"/>
      <c r="DT61" s="70"/>
      <c r="DU61" s="70"/>
      <c r="DV61" s="177"/>
      <c r="DW61" s="177"/>
      <c r="DX61" s="70"/>
      <c r="DY61" s="70"/>
      <c r="DZ61" s="71"/>
      <c r="EA61" s="71"/>
      <c r="EB61" s="180"/>
      <c r="EC61" s="180"/>
      <c r="ED61" s="71"/>
      <c r="EE61" s="180"/>
      <c r="EF61" s="66"/>
      <c r="EG61" s="66"/>
      <c r="EH61" s="79"/>
      <c r="EI61" s="66"/>
      <c r="EJ61" s="79"/>
      <c r="EK61" s="66"/>
      <c r="EL61" s="168"/>
      <c r="EM61" s="67"/>
      <c r="EN61" s="78"/>
      <c r="EO61" s="78"/>
      <c r="EP61" s="78"/>
      <c r="EQ61" s="78">
        <f t="shared" si="15"/>
        <v>36.862911195820992</v>
      </c>
      <c r="ER61" s="79"/>
      <c r="ES61" s="66"/>
      <c r="ET61" s="66"/>
      <c r="EU61" s="66"/>
      <c r="EV61" s="79"/>
      <c r="EW61" s="66"/>
      <c r="EX61" s="66"/>
      <c r="EY61" s="66"/>
      <c r="EZ61" s="66"/>
      <c r="FA61" s="66"/>
      <c r="FB61" s="66"/>
    </row>
    <row r="62" spans="1:158" s="85" customFormat="1" hidden="1" x14ac:dyDescent="0.3">
      <c r="A62" s="81">
        <v>44677</v>
      </c>
      <c r="B62" s="81"/>
      <c r="C62" s="96"/>
      <c r="D62" s="93"/>
      <c r="E62" s="93"/>
      <c r="F62" s="87"/>
      <c r="G62" s="87"/>
      <c r="H62" s="87"/>
      <c r="I62" s="87"/>
      <c r="J62" s="87"/>
      <c r="K62" s="70"/>
      <c r="L62" s="70"/>
      <c r="M62" s="70"/>
      <c r="N62" s="70"/>
      <c r="O62" s="70"/>
      <c r="P62" s="70"/>
      <c r="Q62" s="70"/>
      <c r="R62" s="82"/>
      <c r="S62" s="82"/>
      <c r="T62" s="82"/>
      <c r="U62" s="82"/>
      <c r="V62" s="82"/>
      <c r="W62" s="82"/>
      <c r="X62" s="82"/>
      <c r="Y62" s="83"/>
      <c r="Z62" s="83"/>
      <c r="AA62" s="82"/>
      <c r="AB62" s="82"/>
      <c r="AC62" s="82"/>
      <c r="AD62" s="82"/>
      <c r="AE62" s="82"/>
      <c r="AF62" s="82"/>
      <c r="AG62" s="168"/>
      <c r="AH62" s="74"/>
      <c r="AI62" s="96">
        <v>549.81925731186334</v>
      </c>
      <c r="AJ62" s="96">
        <v>24.289156626506031</v>
      </c>
      <c r="AK62" s="96">
        <v>16.36019501003728</v>
      </c>
      <c r="AL62" s="87">
        <f t="shared" si="7"/>
        <v>525.5301006853573</v>
      </c>
      <c r="AM62" s="70"/>
      <c r="AN62" s="70">
        <f>AI62/AK62</f>
        <v>33.607133470874835</v>
      </c>
      <c r="AO62" s="70"/>
      <c r="AP62" s="70"/>
      <c r="AQ62" s="70"/>
      <c r="AR62" s="71"/>
      <c r="AS62" s="71"/>
      <c r="AT62" s="71"/>
      <c r="AU62" s="71"/>
      <c r="AV62" s="71"/>
      <c r="AW62" s="82"/>
      <c r="AX62" s="84">
        <f>(92+89+92)/3*20</f>
        <v>1820</v>
      </c>
      <c r="AY62" s="84"/>
      <c r="AZ62" s="84">
        <v>1820</v>
      </c>
      <c r="BA62" s="84"/>
      <c r="BB62" s="82">
        <v>34</v>
      </c>
      <c r="BC62" s="82"/>
      <c r="BD62" s="82"/>
      <c r="BE62" s="82"/>
      <c r="BF62" s="168"/>
      <c r="BG62" s="74">
        <v>6.52</v>
      </c>
      <c r="BH62" s="93"/>
      <c r="BI62" s="93"/>
      <c r="BJ62" s="93"/>
      <c r="BK62" s="88"/>
      <c r="BL62" s="88"/>
      <c r="BM62" s="88"/>
      <c r="BN62" s="88"/>
      <c r="BO62" s="88"/>
      <c r="BP62" s="70"/>
      <c r="BQ62" s="70"/>
      <c r="BR62" s="70"/>
      <c r="BS62" s="70"/>
      <c r="BT62" s="70"/>
      <c r="BU62" s="70"/>
      <c r="BV62" s="70"/>
      <c r="BW62" s="71"/>
      <c r="BX62" s="71"/>
      <c r="BY62" s="71"/>
      <c r="BZ62" s="71"/>
      <c r="CA62" s="71"/>
      <c r="CB62" s="71"/>
      <c r="CC62" s="82"/>
      <c r="CD62" s="82"/>
      <c r="CE62" s="82"/>
      <c r="CF62" s="82"/>
      <c r="CG62" s="82"/>
      <c r="CH62" s="82"/>
      <c r="CI62" s="82"/>
      <c r="CJ62" s="82"/>
      <c r="CK62" s="168"/>
      <c r="CL62" s="74"/>
      <c r="CM62" s="69"/>
      <c r="CN62" s="69"/>
      <c r="CO62" s="69"/>
      <c r="CP62" s="69"/>
      <c r="CQ62" s="76"/>
      <c r="CR62" s="76"/>
      <c r="CS62" s="177"/>
      <c r="CT62" s="70"/>
      <c r="CU62" s="76"/>
      <c r="CV62" s="77"/>
      <c r="CW62" s="77"/>
      <c r="CX62" s="77"/>
      <c r="CY62" s="77"/>
      <c r="CZ62" s="77"/>
      <c r="DA62" s="66"/>
      <c r="DB62" s="66"/>
      <c r="DC62" s="66"/>
      <c r="DD62" s="66"/>
      <c r="DE62" s="66"/>
      <c r="DF62" s="66"/>
      <c r="DG62" s="66"/>
      <c r="DH62" s="66"/>
      <c r="DI62" s="168"/>
      <c r="DJ62" s="67"/>
      <c r="DK62" s="69"/>
      <c r="DL62" s="69"/>
      <c r="DM62" s="69"/>
      <c r="DN62" s="69"/>
      <c r="DO62" s="69"/>
      <c r="DP62" s="69"/>
      <c r="DQ62" s="69"/>
      <c r="DR62" s="69"/>
      <c r="DS62" s="70"/>
      <c r="DT62" s="70"/>
      <c r="DU62" s="70"/>
      <c r="DV62" s="177"/>
      <c r="DW62" s="177"/>
      <c r="DX62" s="70"/>
      <c r="DY62" s="70"/>
      <c r="DZ62" s="71"/>
      <c r="EA62" s="71"/>
      <c r="EB62" s="180"/>
      <c r="EC62" s="180"/>
      <c r="ED62" s="71"/>
      <c r="EE62" s="180"/>
      <c r="EF62" s="66"/>
      <c r="EG62" s="66"/>
      <c r="EH62" s="79"/>
      <c r="EI62" s="66"/>
      <c r="EJ62" s="79"/>
      <c r="EK62" s="66"/>
      <c r="EL62" s="168"/>
      <c r="EM62" s="67"/>
      <c r="EN62" s="82"/>
      <c r="EO62" s="82"/>
      <c r="EP62" s="82"/>
      <c r="EQ62" s="82"/>
      <c r="ER62" s="82" t="e">
        <f t="shared" ref="ER62:ER86" si="18">(Y62-CD62)/Y62*100</f>
        <v>#DIV/0!</v>
      </c>
      <c r="ES62" s="137"/>
      <c r="ET62" s="137"/>
      <c r="EU62" s="137"/>
      <c r="EV62" s="82"/>
      <c r="EW62" s="137"/>
      <c r="EX62" s="137"/>
      <c r="EY62" s="137"/>
      <c r="EZ62" s="137"/>
      <c r="FA62" s="137"/>
      <c r="FB62" s="137"/>
    </row>
    <row r="63" spans="1:158" hidden="1" x14ac:dyDescent="0.3">
      <c r="A63" s="86">
        <v>44678</v>
      </c>
      <c r="B63" s="86"/>
      <c r="C63" s="96"/>
      <c r="D63" s="93"/>
      <c r="E63" s="93"/>
      <c r="F63" s="96"/>
      <c r="G63" s="96"/>
      <c r="H63" s="96"/>
      <c r="I63" s="96"/>
      <c r="J63" s="96"/>
      <c r="X63" s="72"/>
      <c r="Y63" s="73"/>
      <c r="Z63" s="73"/>
      <c r="AA63" s="72"/>
      <c r="AB63" s="72"/>
      <c r="AC63" s="72"/>
      <c r="AD63" s="72"/>
      <c r="AE63" s="72"/>
      <c r="AF63" s="72"/>
      <c r="AI63" s="96">
        <v>488.89254025632601</v>
      </c>
      <c r="AJ63" s="96">
        <v>128.11244979919681</v>
      </c>
      <c r="AK63" s="96">
        <v>15.210782907943791</v>
      </c>
      <c r="AL63" s="87">
        <f t="shared" si="7"/>
        <v>360.78009045712918</v>
      </c>
      <c r="AN63" s="70">
        <f t="shared" ref="AN63:AN69" si="19">AI63/AK63</f>
        <v>32.14118189807332</v>
      </c>
      <c r="AW63" s="72"/>
      <c r="AX63" s="75"/>
      <c r="AY63" s="75"/>
      <c r="AZ63" s="75">
        <f>3.1738*AL63+175.85</f>
        <v>1320.8938510928365</v>
      </c>
      <c r="BA63" s="75">
        <f>(AZ62-AZ63)/AZ62*100</f>
        <v>27.423414775118875</v>
      </c>
      <c r="BB63" s="72"/>
      <c r="BC63" s="72"/>
      <c r="BD63" s="72"/>
      <c r="BE63" s="72"/>
      <c r="BG63" s="74">
        <v>6.84</v>
      </c>
      <c r="BH63" s="93"/>
      <c r="BI63" s="93"/>
      <c r="BJ63" s="93"/>
      <c r="BK63" s="88"/>
      <c r="BL63" s="88"/>
      <c r="BM63" s="88"/>
      <c r="BN63" s="88"/>
      <c r="BO63" s="88"/>
      <c r="CC63" s="72"/>
      <c r="CD63" s="72"/>
      <c r="CE63" s="72"/>
      <c r="CF63" s="72"/>
      <c r="CG63" s="72"/>
      <c r="CH63" s="72"/>
      <c r="CI63" s="72"/>
      <c r="CJ63" s="72"/>
      <c r="CM63" s="69"/>
      <c r="CN63" s="69"/>
      <c r="CO63" s="69"/>
      <c r="CP63" s="69"/>
      <c r="CQ63" s="76"/>
      <c r="CR63" s="76"/>
      <c r="CS63" s="177"/>
      <c r="CT63" s="70"/>
      <c r="CU63" s="76"/>
      <c r="CV63" s="77"/>
      <c r="CW63" s="77"/>
      <c r="CX63" s="77"/>
      <c r="CY63" s="77"/>
      <c r="CZ63" s="77"/>
      <c r="DA63" s="66"/>
      <c r="DB63" s="66"/>
      <c r="DC63" s="66"/>
      <c r="DD63" s="66"/>
      <c r="DE63" s="66"/>
      <c r="DF63" s="66"/>
      <c r="DG63" s="66"/>
      <c r="DH63" s="66"/>
      <c r="DI63" s="168"/>
      <c r="DJ63" s="67"/>
      <c r="DK63" s="69"/>
      <c r="DL63" s="69"/>
      <c r="DM63" s="69"/>
      <c r="DN63" s="69"/>
      <c r="DO63" s="69"/>
      <c r="DP63" s="69"/>
      <c r="DQ63" s="69"/>
      <c r="DR63" s="69"/>
      <c r="DS63" s="70"/>
      <c r="DT63" s="70"/>
      <c r="DU63" s="70"/>
      <c r="DV63" s="177"/>
      <c r="DW63" s="177"/>
      <c r="DX63" s="70"/>
      <c r="DY63" s="70"/>
      <c r="DZ63" s="71"/>
      <c r="EA63" s="71"/>
      <c r="EB63" s="180"/>
      <c r="EC63" s="180"/>
      <c r="ED63" s="71"/>
      <c r="EE63" s="180"/>
      <c r="EF63" s="66"/>
      <c r="EG63" s="66"/>
      <c r="EH63" s="79"/>
      <c r="EI63" s="66"/>
      <c r="EJ63" s="79"/>
      <c r="EK63" s="66"/>
      <c r="EL63" s="168"/>
      <c r="EM63" s="67"/>
      <c r="EN63" s="78"/>
      <c r="EO63" s="78"/>
      <c r="EP63" s="78"/>
      <c r="EQ63" s="78"/>
      <c r="ER63" s="79" t="e">
        <f t="shared" si="18"/>
        <v>#DIV/0!</v>
      </c>
      <c r="ES63" s="66"/>
      <c r="ET63" s="66"/>
      <c r="EU63" s="66"/>
      <c r="EV63" s="79"/>
      <c r="EW63" s="66"/>
      <c r="EX63" s="66"/>
      <c r="EY63" s="66"/>
      <c r="EZ63" s="66"/>
      <c r="FA63" s="66"/>
      <c r="FB63" s="66"/>
    </row>
    <row r="64" spans="1:158" hidden="1" x14ac:dyDescent="0.3">
      <c r="A64" s="86">
        <v>44679</v>
      </c>
      <c r="B64" s="86"/>
      <c r="C64" s="96"/>
      <c r="D64" s="93"/>
      <c r="E64" s="93"/>
      <c r="F64" s="96"/>
      <c r="G64" s="96"/>
      <c r="H64" s="96"/>
      <c r="I64" s="96"/>
      <c r="J64" s="96"/>
      <c r="X64" s="72"/>
      <c r="Y64" s="73"/>
      <c r="Z64" s="73"/>
      <c r="AA64" s="72"/>
      <c r="AB64" s="72"/>
      <c r="AC64" s="72"/>
      <c r="AD64" s="72"/>
      <c r="AE64" s="72"/>
      <c r="AF64" s="72"/>
      <c r="AI64" s="96">
        <v>456.95037791652976</v>
      </c>
      <c r="AJ64" s="96">
        <v>127.4698795180723</v>
      </c>
      <c r="AK64" s="96">
        <v>14.859764840837393</v>
      </c>
      <c r="AL64" s="87">
        <f t="shared" si="7"/>
        <v>329.48049839845748</v>
      </c>
      <c r="AN64" s="70">
        <f t="shared" si="19"/>
        <v>30.750848537033729</v>
      </c>
      <c r="AW64" s="72"/>
      <c r="AX64" s="75"/>
      <c r="AY64" s="75"/>
      <c r="AZ64" s="75">
        <f t="shared" ref="AZ64:AZ85" si="20">3.1738*AL64+175.85</f>
        <v>1221.5552058170242</v>
      </c>
      <c r="BA64" s="75">
        <f t="shared" ref="BA64:BA77" si="21">(AZ63-AZ64)/AZ63*100</f>
        <v>7.5205623217660387</v>
      </c>
      <c r="BB64" s="72"/>
      <c r="BC64" s="72"/>
      <c r="BD64" s="72"/>
      <c r="BE64" s="72"/>
      <c r="BG64" s="74">
        <v>6.61</v>
      </c>
      <c r="BH64" s="93"/>
      <c r="BI64" s="93"/>
      <c r="BJ64" s="93"/>
      <c r="BK64" s="88"/>
      <c r="BL64" s="88"/>
      <c r="BM64" s="88"/>
      <c r="BN64" s="88"/>
      <c r="BO64" s="88"/>
      <c r="CC64" s="72"/>
      <c r="CD64" s="72"/>
      <c r="CE64" s="72"/>
      <c r="CF64" s="72"/>
      <c r="CG64" s="72"/>
      <c r="CH64" s="72"/>
      <c r="CI64" s="72"/>
      <c r="CJ64" s="72"/>
      <c r="CM64" s="69"/>
      <c r="CN64" s="69"/>
      <c r="CO64" s="69"/>
      <c r="CP64" s="69"/>
      <c r="CQ64" s="76"/>
      <c r="CR64" s="76"/>
      <c r="CS64" s="177"/>
      <c r="CT64" s="70"/>
      <c r="CU64" s="76"/>
      <c r="CV64" s="77"/>
      <c r="CW64" s="77"/>
      <c r="CX64" s="77"/>
      <c r="CY64" s="77"/>
      <c r="CZ64" s="77"/>
      <c r="DA64" s="66"/>
      <c r="DB64" s="66"/>
      <c r="DC64" s="66"/>
      <c r="DD64" s="66"/>
      <c r="DE64" s="66"/>
      <c r="DF64" s="66"/>
      <c r="DG64" s="66"/>
      <c r="DH64" s="66"/>
      <c r="DI64" s="168"/>
      <c r="DJ64" s="67"/>
      <c r="DK64" s="69"/>
      <c r="DL64" s="69"/>
      <c r="DM64" s="69"/>
      <c r="DN64" s="69"/>
      <c r="DO64" s="69"/>
      <c r="DP64" s="69"/>
      <c r="DQ64" s="69"/>
      <c r="DR64" s="69"/>
      <c r="DS64" s="70"/>
      <c r="DT64" s="70"/>
      <c r="DU64" s="70"/>
      <c r="DV64" s="177"/>
      <c r="DW64" s="177"/>
      <c r="DX64" s="70"/>
      <c r="DY64" s="70"/>
      <c r="DZ64" s="71"/>
      <c r="EA64" s="71"/>
      <c r="EB64" s="180"/>
      <c r="EC64" s="180"/>
      <c r="ED64" s="71"/>
      <c r="EE64" s="180"/>
      <c r="EF64" s="66"/>
      <c r="EG64" s="66"/>
      <c r="EH64" s="79"/>
      <c r="EI64" s="66"/>
      <c r="EJ64" s="79"/>
      <c r="EK64" s="66"/>
      <c r="EL64" s="168"/>
      <c r="EM64" s="67"/>
      <c r="EN64" s="78"/>
      <c r="EO64" s="78"/>
      <c r="EP64" s="78"/>
      <c r="EQ64" s="78"/>
      <c r="ER64" s="79" t="e">
        <f t="shared" si="18"/>
        <v>#DIV/0!</v>
      </c>
      <c r="ES64" s="66"/>
      <c r="ET64" s="66"/>
      <c r="EU64" s="66"/>
      <c r="EV64" s="79"/>
      <c r="EW64" s="66"/>
      <c r="EX64" s="66"/>
      <c r="EY64" s="66"/>
      <c r="EZ64" s="66"/>
      <c r="FA64" s="66"/>
      <c r="FB64" s="66"/>
    </row>
    <row r="65" spans="1:158" hidden="1" x14ac:dyDescent="0.3">
      <c r="A65" s="86">
        <v>44680</v>
      </c>
      <c r="B65" s="86"/>
      <c r="C65" s="96"/>
      <c r="D65" s="93"/>
      <c r="E65" s="93"/>
      <c r="F65" s="96"/>
      <c r="G65" s="96"/>
      <c r="H65" s="96"/>
      <c r="I65" s="96"/>
      <c r="J65" s="96"/>
      <c r="X65" s="72"/>
      <c r="Y65" s="73"/>
      <c r="Z65" s="73"/>
      <c r="AA65" s="72"/>
      <c r="AB65" s="72"/>
      <c r="AC65" s="72"/>
      <c r="AD65" s="72"/>
      <c r="AE65" s="72"/>
      <c r="AF65" s="72"/>
      <c r="AI65" s="96">
        <v>423.13687952960487</v>
      </c>
      <c r="AJ65" s="96">
        <v>149.97983057684553</v>
      </c>
      <c r="AK65" s="96">
        <v>17.273703041144902</v>
      </c>
      <c r="AL65" s="87">
        <f t="shared" si="7"/>
        <v>273.15704895275934</v>
      </c>
      <c r="AN65" s="70">
        <f t="shared" si="19"/>
        <v>24.496014463240382</v>
      </c>
      <c r="AW65" s="72"/>
      <c r="AX65" s="75">
        <v>1050</v>
      </c>
      <c r="AY65" s="75"/>
      <c r="AZ65" s="75">
        <f t="shared" si="20"/>
        <v>1042.7958419662675</v>
      </c>
      <c r="BA65" s="75">
        <f t="shared" si="21"/>
        <v>14.633752367433562</v>
      </c>
      <c r="BB65" s="72"/>
      <c r="BC65" s="72"/>
      <c r="BD65" s="72"/>
      <c r="BE65" s="72"/>
      <c r="BG65" s="74">
        <v>6.74</v>
      </c>
      <c r="BH65" s="93"/>
      <c r="BI65" s="93"/>
      <c r="BJ65" s="93"/>
      <c r="BK65" s="88"/>
      <c r="BL65" s="88"/>
      <c r="BM65" s="88"/>
      <c r="BN65" s="88"/>
      <c r="BO65" s="88"/>
      <c r="CC65" s="72"/>
      <c r="CD65" s="72"/>
      <c r="CE65" s="72"/>
      <c r="CF65" s="72"/>
      <c r="CG65" s="72"/>
      <c r="CH65" s="72"/>
      <c r="CI65" s="72"/>
      <c r="CJ65" s="72"/>
      <c r="CM65" s="69"/>
      <c r="CN65" s="69"/>
      <c r="CO65" s="69"/>
      <c r="CP65" s="69"/>
      <c r="CQ65" s="76"/>
      <c r="CR65" s="76"/>
      <c r="CS65" s="177"/>
      <c r="CT65" s="70"/>
      <c r="CU65" s="76"/>
      <c r="CV65" s="77"/>
      <c r="CW65" s="77"/>
      <c r="CX65" s="77"/>
      <c r="CY65" s="77"/>
      <c r="CZ65" s="77"/>
      <c r="DA65" s="66"/>
      <c r="DB65" s="66"/>
      <c r="DC65" s="66"/>
      <c r="DD65" s="66"/>
      <c r="DE65" s="66"/>
      <c r="DF65" s="66"/>
      <c r="DG65" s="66"/>
      <c r="DH65" s="66"/>
      <c r="DI65" s="168"/>
      <c r="DJ65" s="67"/>
      <c r="DK65" s="69"/>
      <c r="DL65" s="69"/>
      <c r="DM65" s="69"/>
      <c r="DN65" s="69"/>
      <c r="DO65" s="69"/>
      <c r="DP65" s="69"/>
      <c r="DQ65" s="69"/>
      <c r="DR65" s="69"/>
      <c r="DS65" s="70"/>
      <c r="DT65" s="70"/>
      <c r="DU65" s="70"/>
      <c r="DV65" s="177"/>
      <c r="DW65" s="177"/>
      <c r="DX65" s="70"/>
      <c r="DY65" s="70"/>
      <c r="DZ65" s="71"/>
      <c r="EA65" s="71"/>
      <c r="EB65" s="180"/>
      <c r="EC65" s="180"/>
      <c r="ED65" s="71"/>
      <c r="EE65" s="180"/>
      <c r="EF65" s="66"/>
      <c r="EG65" s="66"/>
      <c r="EH65" s="79"/>
      <c r="EI65" s="66"/>
      <c r="EJ65" s="79"/>
      <c r="EK65" s="66"/>
      <c r="EL65" s="168"/>
      <c r="EM65" s="67"/>
      <c r="EN65" s="78"/>
      <c r="EO65" s="78"/>
      <c r="EP65" s="78"/>
      <c r="EQ65" s="78"/>
      <c r="ER65" s="79" t="e">
        <f t="shared" si="18"/>
        <v>#DIV/0!</v>
      </c>
      <c r="ES65" s="66"/>
      <c r="ET65" s="66"/>
      <c r="EU65" s="66"/>
      <c r="EV65" s="79"/>
      <c r="EW65" s="66"/>
      <c r="EX65" s="66"/>
      <c r="EY65" s="66"/>
      <c r="EZ65" s="66"/>
      <c r="FA65" s="66"/>
      <c r="FB65" s="66"/>
    </row>
    <row r="66" spans="1:158" hidden="1" x14ac:dyDescent="0.3">
      <c r="A66" s="81">
        <v>44680</v>
      </c>
      <c r="B66" s="81"/>
      <c r="C66" s="96"/>
      <c r="D66" s="93"/>
      <c r="E66" s="93"/>
      <c r="F66" s="96"/>
      <c r="G66" s="96"/>
      <c r="H66" s="96"/>
      <c r="I66" s="96"/>
      <c r="J66" s="96"/>
      <c r="X66" s="72"/>
      <c r="Y66" s="73"/>
      <c r="Z66" s="73"/>
      <c r="AA66" s="72"/>
      <c r="AB66" s="72"/>
      <c r="AC66" s="72"/>
      <c r="AD66" s="72"/>
      <c r="AE66" s="72"/>
      <c r="AF66" s="72"/>
      <c r="AI66" s="96"/>
      <c r="AJ66" s="96"/>
      <c r="AK66" s="96"/>
      <c r="AL66" s="87"/>
      <c r="AW66" s="72"/>
      <c r="AX66" s="75"/>
      <c r="AY66" s="75"/>
      <c r="AZ66" s="98"/>
      <c r="BA66" s="75"/>
      <c r="BB66" s="72"/>
      <c r="BC66" s="72"/>
      <c r="BD66" s="72"/>
      <c r="BE66" s="72"/>
      <c r="BH66" s="93"/>
      <c r="BI66" s="93"/>
      <c r="BJ66" s="93"/>
      <c r="BK66" s="88"/>
      <c r="BL66" s="88"/>
      <c r="BM66" s="88"/>
      <c r="BN66" s="88"/>
      <c r="BO66" s="88"/>
      <c r="CC66" s="72"/>
      <c r="CD66" s="72"/>
      <c r="CE66" s="72"/>
      <c r="CF66" s="72"/>
      <c r="CG66" s="72"/>
      <c r="CH66" s="72"/>
      <c r="CI66" s="72"/>
      <c r="CJ66" s="72"/>
      <c r="CM66" s="69"/>
      <c r="CN66" s="69"/>
      <c r="CO66" s="69"/>
      <c r="CP66" s="69"/>
      <c r="CQ66" s="76"/>
      <c r="CR66" s="76"/>
      <c r="CS66" s="177"/>
      <c r="CT66" s="70"/>
      <c r="CU66" s="76"/>
      <c r="CV66" s="77"/>
      <c r="CW66" s="77"/>
      <c r="CX66" s="77"/>
      <c r="CY66" s="77"/>
      <c r="CZ66" s="77"/>
      <c r="DA66" s="66"/>
      <c r="DB66" s="66"/>
      <c r="DC66" s="66"/>
      <c r="DD66" s="66"/>
      <c r="DE66" s="66"/>
      <c r="DF66" s="66"/>
      <c r="DG66" s="66"/>
      <c r="DH66" s="66"/>
      <c r="DI66" s="168"/>
      <c r="DJ66" s="67"/>
      <c r="DK66" s="69"/>
      <c r="DL66" s="69"/>
      <c r="DM66" s="69"/>
      <c r="DN66" s="69"/>
      <c r="DO66" s="69"/>
      <c r="DP66" s="69"/>
      <c r="DQ66" s="69"/>
      <c r="DR66" s="69"/>
      <c r="DS66" s="70"/>
      <c r="DT66" s="70"/>
      <c r="DU66" s="70"/>
      <c r="DV66" s="177"/>
      <c r="DW66" s="177"/>
      <c r="DX66" s="70"/>
      <c r="DY66" s="70"/>
      <c r="DZ66" s="71"/>
      <c r="EA66" s="71"/>
      <c r="EB66" s="180"/>
      <c r="EC66" s="180"/>
      <c r="ED66" s="71"/>
      <c r="EE66" s="180"/>
      <c r="EF66" s="66"/>
      <c r="EG66" s="66"/>
      <c r="EH66" s="79"/>
      <c r="EI66" s="66"/>
      <c r="EJ66" s="79"/>
      <c r="EK66" s="66"/>
      <c r="EL66" s="168"/>
      <c r="EM66" s="67"/>
      <c r="EN66" s="78"/>
      <c r="EO66" s="78"/>
      <c r="EP66" s="78"/>
      <c r="EQ66" s="78"/>
      <c r="ER66" s="79" t="e">
        <f t="shared" si="18"/>
        <v>#DIV/0!</v>
      </c>
      <c r="ES66" s="66"/>
      <c r="ET66" s="66"/>
      <c r="EU66" s="66"/>
      <c r="EV66" s="79"/>
      <c r="EW66" s="66"/>
      <c r="EX66" s="66"/>
      <c r="EY66" s="66"/>
      <c r="EZ66" s="66"/>
      <c r="FA66" s="66"/>
      <c r="FB66" s="66"/>
    </row>
    <row r="67" spans="1:158" hidden="1" x14ac:dyDescent="0.3">
      <c r="A67" s="86">
        <v>44683</v>
      </c>
      <c r="B67" s="86"/>
      <c r="C67" s="96"/>
      <c r="D67" s="93"/>
      <c r="E67" s="93"/>
      <c r="F67" s="96"/>
      <c r="G67" s="96"/>
      <c r="H67" s="96"/>
      <c r="I67" s="96"/>
      <c r="J67" s="96"/>
      <c r="X67" s="72"/>
      <c r="Y67" s="73"/>
      <c r="Z67" s="73"/>
      <c r="AA67" s="72"/>
      <c r="AB67" s="72"/>
      <c r="AC67" s="72"/>
      <c r="AD67" s="72"/>
      <c r="AE67" s="72"/>
      <c r="AF67" s="72"/>
      <c r="AI67" s="96">
        <v>381.67646656638863</v>
      </c>
      <c r="AJ67" s="96">
        <v>219.60467930617185</v>
      </c>
      <c r="AK67" s="96">
        <v>19.270125223613594</v>
      </c>
      <c r="AL67" s="87">
        <f t="shared" si="7"/>
        <v>162.07178726021678</v>
      </c>
      <c r="AN67" s="70">
        <f t="shared" si="19"/>
        <v>19.80664173882392</v>
      </c>
      <c r="AW67" s="72"/>
      <c r="AX67" s="75">
        <v>630</v>
      </c>
      <c r="AY67" s="75"/>
      <c r="AZ67" s="75">
        <f t="shared" si="20"/>
        <v>690.23343840647601</v>
      </c>
      <c r="BA67" s="75" t="e">
        <f t="shared" si="21"/>
        <v>#DIV/0!</v>
      </c>
      <c r="BB67" s="72"/>
      <c r="BC67" s="72"/>
      <c r="BD67" s="72"/>
      <c r="BE67" s="72"/>
      <c r="BG67" s="74">
        <v>6.76</v>
      </c>
      <c r="BH67" s="93"/>
      <c r="BI67" s="93"/>
      <c r="BJ67" s="93"/>
      <c r="BK67" s="88"/>
      <c r="BL67" s="88"/>
      <c r="BM67" s="88"/>
      <c r="BN67" s="88"/>
      <c r="BO67" s="88"/>
      <c r="CC67" s="72"/>
      <c r="CD67" s="72"/>
      <c r="CE67" s="72"/>
      <c r="CF67" s="72"/>
      <c r="CG67" s="72"/>
      <c r="CH67" s="72"/>
      <c r="CI67" s="72"/>
      <c r="CJ67" s="72"/>
      <c r="CM67" s="69"/>
      <c r="CN67" s="69"/>
      <c r="CO67" s="69"/>
      <c r="CP67" s="69"/>
      <c r="CQ67" s="76"/>
      <c r="CR67" s="76"/>
      <c r="CS67" s="177"/>
      <c r="CT67" s="70"/>
      <c r="CU67" s="76"/>
      <c r="CV67" s="77"/>
      <c r="CW67" s="77"/>
      <c r="CX67" s="77"/>
      <c r="CY67" s="77"/>
      <c r="CZ67" s="77"/>
      <c r="DA67" s="66"/>
      <c r="DB67" s="66"/>
      <c r="DC67" s="66"/>
      <c r="DD67" s="66"/>
      <c r="DE67" s="66"/>
      <c r="DF67" s="66"/>
      <c r="DG67" s="66"/>
      <c r="DH67" s="66"/>
      <c r="DI67" s="168"/>
      <c r="DJ67" s="67"/>
      <c r="DK67" s="69"/>
      <c r="DL67" s="69"/>
      <c r="DM67" s="69"/>
      <c r="DN67" s="69"/>
      <c r="DO67" s="69"/>
      <c r="DP67" s="69"/>
      <c r="DQ67" s="69"/>
      <c r="DR67" s="69"/>
      <c r="DS67" s="70"/>
      <c r="DT67" s="70"/>
      <c r="DU67" s="70"/>
      <c r="DV67" s="177"/>
      <c r="DW67" s="177"/>
      <c r="DX67" s="70"/>
      <c r="DY67" s="70"/>
      <c r="DZ67" s="71"/>
      <c r="EA67" s="71"/>
      <c r="EB67" s="180"/>
      <c r="EC67" s="180"/>
      <c r="ED67" s="71"/>
      <c r="EE67" s="180"/>
      <c r="EF67" s="66"/>
      <c r="EG67" s="66"/>
      <c r="EH67" s="79"/>
      <c r="EI67" s="66"/>
      <c r="EJ67" s="79"/>
      <c r="EK67" s="66"/>
      <c r="EL67" s="168"/>
      <c r="EM67" s="67"/>
      <c r="EN67" s="78"/>
      <c r="EO67" s="78"/>
      <c r="EP67" s="78"/>
      <c r="EQ67" s="78"/>
      <c r="ER67" s="79" t="e">
        <f t="shared" si="18"/>
        <v>#DIV/0!</v>
      </c>
      <c r="ES67" s="66"/>
      <c r="ET67" s="66"/>
      <c r="EU67" s="66"/>
      <c r="EV67" s="79"/>
      <c r="EW67" s="66"/>
      <c r="EX67" s="66"/>
      <c r="EY67" s="66"/>
      <c r="EZ67" s="66"/>
      <c r="FA67" s="66"/>
      <c r="FB67" s="66"/>
    </row>
    <row r="68" spans="1:158" hidden="1" x14ac:dyDescent="0.3">
      <c r="A68" s="86">
        <v>44685</v>
      </c>
      <c r="B68" s="86"/>
      <c r="C68" s="96"/>
      <c r="D68" s="93"/>
      <c r="E68" s="93"/>
      <c r="F68" s="96"/>
      <c r="G68" s="96"/>
      <c r="H68" s="96"/>
      <c r="I68" s="96"/>
      <c r="J68" s="96"/>
      <c r="X68" s="72"/>
      <c r="Y68" s="73"/>
      <c r="Z68" s="73"/>
      <c r="AA68" s="72"/>
      <c r="AB68" s="72"/>
      <c r="AC68" s="72"/>
      <c r="AD68" s="72"/>
      <c r="AE68" s="72"/>
      <c r="AF68" s="72"/>
      <c r="AI68" s="96">
        <v>295.91139067414196</v>
      </c>
      <c r="AJ68" s="96">
        <v>280.35498184751918</v>
      </c>
      <c r="AK68" s="96">
        <v>21.445438282647583</v>
      </c>
      <c r="AL68" s="87">
        <f t="shared" si="7"/>
        <v>15.556408826622771</v>
      </c>
      <c r="AN68" s="70">
        <f t="shared" si="19"/>
        <v>13.798337286189971</v>
      </c>
      <c r="AW68" s="72"/>
      <c r="AX68" s="75">
        <v>220</v>
      </c>
      <c r="AY68" s="75"/>
      <c r="AZ68" s="75">
        <f t="shared" si="20"/>
        <v>225.22293033393535</v>
      </c>
      <c r="BA68" s="75">
        <f t="shared" si="21"/>
        <v>67.370034860394242</v>
      </c>
      <c r="BB68" s="72"/>
      <c r="BC68" s="72"/>
      <c r="BD68" s="72"/>
      <c r="BE68" s="72"/>
      <c r="BG68" s="74">
        <v>6.86</v>
      </c>
      <c r="BH68" s="93"/>
      <c r="BI68" s="93"/>
      <c r="BJ68" s="93"/>
      <c r="BK68" s="88"/>
      <c r="BL68" s="88"/>
      <c r="BM68" s="88"/>
      <c r="BN68" s="88"/>
      <c r="BO68" s="88"/>
      <c r="CC68" s="72"/>
      <c r="CD68" s="72"/>
      <c r="CE68" s="72"/>
      <c r="CF68" s="72"/>
      <c r="CG68" s="72"/>
      <c r="CH68" s="72"/>
      <c r="CI68" s="72"/>
      <c r="CJ68" s="72"/>
      <c r="CM68" s="69"/>
      <c r="CN68" s="69"/>
      <c r="CO68" s="69"/>
      <c r="CP68" s="69"/>
      <c r="CQ68" s="76"/>
      <c r="CR68" s="76"/>
      <c r="CS68" s="177"/>
      <c r="CT68" s="70"/>
      <c r="CU68" s="76"/>
      <c r="CV68" s="77"/>
      <c r="CW68" s="77"/>
      <c r="CX68" s="77"/>
      <c r="CY68" s="77"/>
      <c r="CZ68" s="77"/>
      <c r="DA68" s="66"/>
      <c r="DB68" s="66"/>
      <c r="DC68" s="66"/>
      <c r="DD68" s="66"/>
      <c r="DE68" s="66"/>
      <c r="DF68" s="66"/>
      <c r="DG68" s="66"/>
      <c r="DH68" s="66"/>
      <c r="DI68" s="168"/>
      <c r="DJ68" s="67"/>
      <c r="DK68" s="69"/>
      <c r="DL68" s="69"/>
      <c r="DM68" s="69"/>
      <c r="DN68" s="69"/>
      <c r="DO68" s="69"/>
      <c r="DP68" s="69"/>
      <c r="DQ68" s="69"/>
      <c r="DR68" s="69"/>
      <c r="DS68" s="70"/>
      <c r="DT68" s="70"/>
      <c r="DU68" s="70"/>
      <c r="DV68" s="177"/>
      <c r="DW68" s="177"/>
      <c r="DX68" s="70"/>
      <c r="DY68" s="70"/>
      <c r="DZ68" s="71"/>
      <c r="EA68" s="71"/>
      <c r="EB68" s="180"/>
      <c r="EC68" s="180"/>
      <c r="ED68" s="71"/>
      <c r="EE68" s="180"/>
      <c r="EF68" s="66"/>
      <c r="EG68" s="66"/>
      <c r="EH68" s="79"/>
      <c r="EI68" s="66"/>
      <c r="EJ68" s="79"/>
      <c r="EK68" s="66"/>
      <c r="EL68" s="168"/>
      <c r="EM68" s="67"/>
      <c r="EN68" s="78"/>
      <c r="EO68" s="78"/>
      <c r="EP68" s="78"/>
      <c r="EQ68" s="78"/>
      <c r="ER68" s="79" t="e">
        <f t="shared" si="18"/>
        <v>#DIV/0!</v>
      </c>
      <c r="ES68" s="66"/>
      <c r="ET68" s="66"/>
      <c r="EU68" s="66"/>
      <c r="EV68" s="79"/>
      <c r="EW68" s="66"/>
      <c r="EX68" s="66"/>
      <c r="EY68" s="66"/>
      <c r="EZ68" s="66"/>
      <c r="FA68" s="66"/>
      <c r="FB68" s="66"/>
    </row>
    <row r="69" spans="1:158" hidden="1" x14ac:dyDescent="0.3">
      <c r="A69" s="81">
        <v>44685</v>
      </c>
      <c r="B69" s="81"/>
      <c r="C69" s="96"/>
      <c r="D69" s="93"/>
      <c r="E69" s="93"/>
      <c r="F69" s="96"/>
      <c r="G69" s="96"/>
      <c r="H69" s="96"/>
      <c r="I69" s="96"/>
      <c r="J69" s="96"/>
      <c r="X69" s="72"/>
      <c r="Y69" s="73"/>
      <c r="Z69" s="73"/>
      <c r="AA69" s="72"/>
      <c r="AB69" s="72"/>
      <c r="AC69" s="72"/>
      <c r="AD69" s="72"/>
      <c r="AE69" s="72"/>
      <c r="AF69" s="72"/>
      <c r="AI69" s="96">
        <v>631.42349241077545</v>
      </c>
      <c r="AJ69" s="96">
        <v>271.23840258168616</v>
      </c>
      <c r="AK69" s="96">
        <v>20.264758497316635</v>
      </c>
      <c r="AL69" s="87">
        <f t="shared" si="7"/>
        <v>360.18508982908929</v>
      </c>
      <c r="AN69" s="70">
        <f t="shared" si="19"/>
        <v>31.15869811596253</v>
      </c>
      <c r="AW69" s="72"/>
      <c r="AX69" s="75">
        <v>1300</v>
      </c>
      <c r="AY69" s="75"/>
      <c r="AZ69" s="75">
        <f t="shared" si="20"/>
        <v>1319.0054380995634</v>
      </c>
      <c r="BA69" s="75"/>
      <c r="BB69" s="72">
        <v>49</v>
      </c>
      <c r="BC69" s="72"/>
      <c r="BD69" s="72"/>
      <c r="BE69" s="72"/>
      <c r="BG69" s="74">
        <v>6.92</v>
      </c>
      <c r="BH69" s="93"/>
      <c r="BI69" s="93"/>
      <c r="BJ69" s="93"/>
      <c r="BK69" s="88"/>
      <c r="BL69" s="88"/>
      <c r="BM69" s="88"/>
      <c r="BN69" s="88"/>
      <c r="BO69" s="88"/>
      <c r="CC69" s="72"/>
      <c r="CD69" s="72"/>
      <c r="CE69" s="72"/>
      <c r="CF69" s="72"/>
      <c r="CG69" s="72"/>
      <c r="CH69" s="72"/>
      <c r="CI69" s="72"/>
      <c r="CJ69" s="72"/>
      <c r="CM69" s="69"/>
      <c r="CN69" s="69"/>
      <c r="CO69" s="69"/>
      <c r="CP69" s="69"/>
      <c r="CQ69" s="76"/>
      <c r="CR69" s="76"/>
      <c r="CS69" s="177"/>
      <c r="CT69" s="70"/>
      <c r="CU69" s="76"/>
      <c r="CV69" s="77"/>
      <c r="CW69" s="77"/>
      <c r="CX69" s="77"/>
      <c r="CY69" s="77"/>
      <c r="CZ69" s="77"/>
      <c r="DA69" s="66"/>
      <c r="DB69" s="66"/>
      <c r="DC69" s="66"/>
      <c r="DD69" s="66"/>
      <c r="DE69" s="66"/>
      <c r="DF69" s="66"/>
      <c r="DG69" s="66"/>
      <c r="DH69" s="66"/>
      <c r="DI69" s="168"/>
      <c r="DJ69" s="67"/>
      <c r="DK69" s="69"/>
      <c r="DL69" s="69"/>
      <c r="DM69" s="69"/>
      <c r="DN69" s="69"/>
      <c r="DO69" s="69"/>
      <c r="DP69" s="69"/>
      <c r="DQ69" s="69"/>
      <c r="DR69" s="69"/>
      <c r="DS69" s="70"/>
      <c r="DT69" s="70"/>
      <c r="DU69" s="70"/>
      <c r="DV69" s="177"/>
      <c r="DW69" s="177"/>
      <c r="DX69" s="70"/>
      <c r="DY69" s="70"/>
      <c r="DZ69" s="71"/>
      <c r="EA69" s="71"/>
      <c r="EB69" s="180"/>
      <c r="EC69" s="180"/>
      <c r="ED69" s="71"/>
      <c r="EE69" s="180"/>
      <c r="EF69" s="66"/>
      <c r="EG69" s="66"/>
      <c r="EH69" s="79"/>
      <c r="EI69" s="66"/>
      <c r="EJ69" s="79"/>
      <c r="EK69" s="66"/>
      <c r="EL69" s="168"/>
      <c r="EM69" s="67"/>
      <c r="EN69" s="78"/>
      <c r="EO69" s="78"/>
      <c r="EP69" s="78"/>
      <c r="EQ69" s="78"/>
      <c r="ER69" s="79" t="e">
        <f t="shared" si="18"/>
        <v>#DIV/0!</v>
      </c>
      <c r="ES69" s="66"/>
      <c r="ET69" s="66"/>
      <c r="EU69" s="66"/>
      <c r="EV69" s="79"/>
      <c r="EW69" s="66"/>
      <c r="EX69" s="66"/>
      <c r="EY69" s="66"/>
      <c r="EZ69" s="66"/>
      <c r="FA69" s="66"/>
      <c r="FB69" s="66"/>
    </row>
    <row r="70" spans="1:158" hidden="1" x14ac:dyDescent="0.3">
      <c r="A70" s="86">
        <v>44686</v>
      </c>
      <c r="B70" s="86"/>
      <c r="C70" s="96"/>
      <c r="D70" s="93"/>
      <c r="E70" s="93"/>
      <c r="F70" s="96"/>
      <c r="G70" s="96"/>
      <c r="H70" s="96"/>
      <c r="I70" s="96"/>
      <c r="J70" s="96"/>
      <c r="X70" s="72"/>
      <c r="Y70" s="73"/>
      <c r="Z70" s="73"/>
      <c r="AA70" s="72"/>
      <c r="AB70" s="72"/>
      <c r="AC70" s="72"/>
      <c r="AD70" s="72"/>
      <c r="AE70" s="72"/>
      <c r="AF70" s="72"/>
      <c r="AI70" s="96">
        <v>302.86669237691217</v>
      </c>
      <c r="AJ70" s="96">
        <v>225.01496110113703</v>
      </c>
      <c r="AK70" s="96">
        <v>17.615077926785069</v>
      </c>
      <c r="AL70" s="87">
        <f t="shared" si="7"/>
        <v>77.851731275775137</v>
      </c>
      <c r="AW70" s="72"/>
      <c r="AX70" s="75">
        <v>520</v>
      </c>
      <c r="AY70" s="75"/>
      <c r="AZ70" s="75">
        <f t="shared" si="20"/>
        <v>422.93582472305513</v>
      </c>
      <c r="BA70" s="75">
        <f t="shared" si="21"/>
        <v>67.935247838521022</v>
      </c>
      <c r="BB70" s="72">
        <v>42</v>
      </c>
      <c r="BC70" s="72"/>
      <c r="BD70" s="72"/>
      <c r="BE70" s="72"/>
      <c r="BG70" s="74">
        <v>6.64</v>
      </c>
      <c r="BH70" s="93"/>
      <c r="BI70" s="93"/>
      <c r="BJ70" s="93"/>
      <c r="BK70" s="88"/>
      <c r="BL70" s="88"/>
      <c r="BM70" s="88"/>
      <c r="BN70" s="88"/>
      <c r="BO70" s="88"/>
      <c r="CC70" s="72"/>
      <c r="CD70" s="72"/>
      <c r="CE70" s="72"/>
      <c r="CF70" s="72"/>
      <c r="CG70" s="72"/>
      <c r="CH70" s="72"/>
      <c r="CI70" s="72"/>
      <c r="CJ70" s="72"/>
      <c r="CM70" s="69"/>
      <c r="CN70" s="69"/>
      <c r="CO70" s="69"/>
      <c r="CP70" s="69"/>
      <c r="CQ70" s="76"/>
      <c r="CR70" s="76"/>
      <c r="CS70" s="177"/>
      <c r="CT70" s="70"/>
      <c r="CU70" s="76"/>
      <c r="CV70" s="77"/>
      <c r="CW70" s="77"/>
      <c r="CX70" s="77"/>
      <c r="CY70" s="77"/>
      <c r="CZ70" s="77"/>
      <c r="DA70" s="66"/>
      <c r="DB70" s="66"/>
      <c r="DC70" s="66"/>
      <c r="DD70" s="66"/>
      <c r="DE70" s="66"/>
      <c r="DF70" s="66"/>
      <c r="DG70" s="66"/>
      <c r="DH70" s="66"/>
      <c r="DI70" s="168"/>
      <c r="DJ70" s="67"/>
      <c r="DK70" s="69"/>
      <c r="DL70" s="69"/>
      <c r="DM70" s="69"/>
      <c r="DN70" s="69"/>
      <c r="DO70" s="69"/>
      <c r="DP70" s="69"/>
      <c r="DQ70" s="69"/>
      <c r="DR70" s="69"/>
      <c r="DS70" s="70"/>
      <c r="DT70" s="70"/>
      <c r="DU70" s="70"/>
      <c r="DV70" s="177"/>
      <c r="DW70" s="177"/>
      <c r="DX70" s="70"/>
      <c r="DY70" s="70"/>
      <c r="DZ70" s="71"/>
      <c r="EA70" s="71"/>
      <c r="EB70" s="180"/>
      <c r="EC70" s="180"/>
      <c r="ED70" s="71"/>
      <c r="EE70" s="180"/>
      <c r="EF70" s="66"/>
      <c r="EG70" s="66"/>
      <c r="EH70" s="79"/>
      <c r="EI70" s="66"/>
      <c r="EJ70" s="79"/>
      <c r="EK70" s="66"/>
      <c r="EL70" s="168"/>
      <c r="EM70" s="67"/>
      <c r="EN70" s="78"/>
      <c r="EO70" s="78"/>
      <c r="EP70" s="78"/>
      <c r="EQ70" s="78"/>
      <c r="ER70" s="79" t="e">
        <f t="shared" si="18"/>
        <v>#DIV/0!</v>
      </c>
      <c r="ES70" s="66"/>
      <c r="ET70" s="66"/>
      <c r="EU70" s="66"/>
      <c r="EV70" s="79"/>
      <c r="EW70" s="66"/>
      <c r="EX70" s="66"/>
      <c r="EY70" s="66"/>
      <c r="EZ70" s="66"/>
      <c r="FA70" s="66"/>
      <c r="FB70" s="66"/>
    </row>
    <row r="71" spans="1:158" hidden="1" x14ac:dyDescent="0.3">
      <c r="A71" s="86">
        <v>44687</v>
      </c>
      <c r="B71" s="86"/>
      <c r="C71" s="96"/>
      <c r="D71" s="93"/>
      <c r="E71" s="93"/>
      <c r="F71" s="96"/>
      <c r="G71" s="96"/>
      <c r="H71" s="96"/>
      <c r="I71" s="96"/>
      <c r="J71" s="96"/>
      <c r="X71" s="72"/>
      <c r="Y71" s="73"/>
      <c r="Z71" s="73"/>
      <c r="AA71" s="72"/>
      <c r="AB71" s="72"/>
      <c r="AC71" s="72"/>
      <c r="AD71" s="72"/>
      <c r="AE71" s="72"/>
      <c r="AF71" s="72"/>
      <c r="AI71" s="96">
        <v>278.59622059390665</v>
      </c>
      <c r="AJ71" s="96">
        <v>263.79413524835428</v>
      </c>
      <c r="AK71" s="96">
        <v>20.384197172888726</v>
      </c>
      <c r="AL71" s="87">
        <f t="shared" si="7"/>
        <v>14.802085345552371</v>
      </c>
      <c r="AW71" s="72"/>
      <c r="AX71" s="75">
        <v>300</v>
      </c>
      <c r="AY71" s="75"/>
      <c r="AZ71" s="75">
        <f t="shared" si="20"/>
        <v>222.82885846971411</v>
      </c>
      <c r="BA71" s="75">
        <f t="shared" si="21"/>
        <v>47.313789600200963</v>
      </c>
      <c r="BB71" s="72">
        <v>46</v>
      </c>
      <c r="BC71" s="72"/>
      <c r="BD71" s="72"/>
      <c r="BE71" s="72"/>
      <c r="BG71" s="74">
        <v>6.94</v>
      </c>
      <c r="BH71" s="93"/>
      <c r="BI71" s="93"/>
      <c r="BJ71" s="93"/>
      <c r="BK71" s="88"/>
      <c r="BL71" s="88"/>
      <c r="BM71" s="88"/>
      <c r="BN71" s="88"/>
      <c r="BO71" s="88"/>
      <c r="CC71" s="72"/>
      <c r="CD71" s="72"/>
      <c r="CE71" s="72"/>
      <c r="CF71" s="72"/>
      <c r="CG71" s="72"/>
      <c r="CH71" s="72"/>
      <c r="CI71" s="72"/>
      <c r="CJ71" s="72"/>
      <c r="CM71" s="69"/>
      <c r="CN71" s="69"/>
      <c r="CO71" s="69"/>
      <c r="CP71" s="69"/>
      <c r="CQ71" s="76"/>
      <c r="CR71" s="76"/>
      <c r="CS71" s="177"/>
      <c r="CT71" s="70"/>
      <c r="CU71" s="76"/>
      <c r="CV71" s="77"/>
      <c r="CW71" s="77"/>
      <c r="CX71" s="77"/>
      <c r="CY71" s="77"/>
      <c r="CZ71" s="77"/>
      <c r="DA71" s="66"/>
      <c r="DB71" s="66"/>
      <c r="DC71" s="66"/>
      <c r="DD71" s="66"/>
      <c r="DE71" s="66"/>
      <c r="DF71" s="66"/>
      <c r="DG71" s="66"/>
      <c r="DH71" s="66"/>
      <c r="DI71" s="168"/>
      <c r="DJ71" s="67"/>
      <c r="DK71" s="69"/>
      <c r="DL71" s="69"/>
      <c r="DM71" s="69"/>
      <c r="DN71" s="69"/>
      <c r="DO71" s="69"/>
      <c r="DP71" s="69"/>
      <c r="DQ71" s="69"/>
      <c r="DR71" s="69"/>
      <c r="DS71" s="70"/>
      <c r="DT71" s="70"/>
      <c r="DU71" s="70"/>
      <c r="DV71" s="177"/>
      <c r="DW71" s="177"/>
      <c r="DX71" s="70"/>
      <c r="DY71" s="70"/>
      <c r="DZ71" s="71"/>
      <c r="EA71" s="71"/>
      <c r="EB71" s="180"/>
      <c r="EC71" s="180"/>
      <c r="ED71" s="71"/>
      <c r="EE71" s="180"/>
      <c r="EF71" s="66"/>
      <c r="EG71" s="66"/>
      <c r="EH71" s="79"/>
      <c r="EI71" s="66"/>
      <c r="EJ71" s="79"/>
      <c r="EK71" s="66"/>
      <c r="EL71" s="168"/>
      <c r="EM71" s="67"/>
      <c r="EN71" s="78"/>
      <c r="EO71" s="78"/>
      <c r="EP71" s="78"/>
      <c r="EQ71" s="78"/>
      <c r="ER71" s="79" t="e">
        <f t="shared" si="18"/>
        <v>#DIV/0!</v>
      </c>
      <c r="ES71" s="66"/>
      <c r="ET71" s="66"/>
      <c r="EU71" s="66"/>
      <c r="EV71" s="79"/>
      <c r="EW71" s="66"/>
      <c r="EX71" s="66"/>
      <c r="EY71" s="66"/>
      <c r="EZ71" s="66"/>
      <c r="FA71" s="66"/>
      <c r="FB71" s="66"/>
    </row>
    <row r="72" spans="1:158" hidden="1" x14ac:dyDescent="0.3">
      <c r="A72" s="86">
        <v>44687</v>
      </c>
      <c r="B72" s="86"/>
      <c r="C72" s="96"/>
      <c r="D72" s="93"/>
      <c r="E72" s="93"/>
      <c r="F72" s="96"/>
      <c r="G72" s="96"/>
      <c r="H72" s="96"/>
      <c r="I72" s="96"/>
      <c r="J72" s="96"/>
      <c r="X72" s="72"/>
      <c r="Y72" s="73"/>
      <c r="Z72" s="73"/>
      <c r="AA72" s="72"/>
      <c r="AB72" s="72"/>
      <c r="AC72" s="72"/>
      <c r="AD72" s="72"/>
      <c r="AE72" s="72"/>
      <c r="AF72" s="72"/>
      <c r="AI72" s="96">
        <v>662.81012983673986</v>
      </c>
      <c r="AJ72" s="96">
        <v>253.02214242968284</v>
      </c>
      <c r="AK72" s="96">
        <v>19.441826748822038</v>
      </c>
      <c r="AL72" s="87">
        <f t="shared" si="7"/>
        <v>409.78798740705702</v>
      </c>
      <c r="AW72" s="72"/>
      <c r="AX72" s="98"/>
      <c r="AY72" s="98"/>
      <c r="AZ72" s="75">
        <f t="shared" si="20"/>
        <v>1476.4351144325174</v>
      </c>
      <c r="BA72" s="75"/>
      <c r="BB72" s="72">
        <v>47</v>
      </c>
      <c r="BC72" s="72"/>
      <c r="BD72" s="72"/>
      <c r="BE72" s="72"/>
      <c r="BG72" s="74">
        <v>6.66</v>
      </c>
      <c r="BH72" s="93"/>
      <c r="BI72" s="93"/>
      <c r="BJ72" s="93"/>
      <c r="BK72" s="88"/>
      <c r="BL72" s="88"/>
      <c r="BM72" s="88"/>
      <c r="BN72" s="88"/>
      <c r="BO72" s="88"/>
      <c r="CC72" s="72"/>
      <c r="CD72" s="72"/>
      <c r="CE72" s="72"/>
      <c r="CF72" s="72"/>
      <c r="CG72" s="72"/>
      <c r="CH72" s="72"/>
      <c r="CI72" s="72"/>
      <c r="CJ72" s="72"/>
      <c r="CM72" s="69"/>
      <c r="CN72" s="69"/>
      <c r="CO72" s="69"/>
      <c r="CP72" s="69"/>
      <c r="CQ72" s="76"/>
      <c r="CR72" s="76"/>
      <c r="CS72" s="177"/>
      <c r="CT72" s="70"/>
      <c r="CU72" s="76"/>
      <c r="CV72" s="77"/>
      <c r="CW72" s="77"/>
      <c r="CX72" s="77"/>
      <c r="CY72" s="77"/>
      <c r="CZ72" s="77"/>
      <c r="DA72" s="66"/>
      <c r="DB72" s="66"/>
      <c r="DC72" s="66"/>
      <c r="DD72" s="66"/>
      <c r="DE72" s="66"/>
      <c r="DF72" s="66"/>
      <c r="DG72" s="66"/>
      <c r="DH72" s="66"/>
      <c r="DI72" s="168"/>
      <c r="DJ72" s="67"/>
      <c r="DK72" s="69"/>
      <c r="DL72" s="69"/>
      <c r="DM72" s="69"/>
      <c r="DN72" s="69"/>
      <c r="DO72" s="69"/>
      <c r="DP72" s="69"/>
      <c r="DQ72" s="69"/>
      <c r="DR72" s="69"/>
      <c r="DS72" s="70"/>
      <c r="DT72" s="70"/>
      <c r="DU72" s="70"/>
      <c r="DV72" s="177"/>
      <c r="DW72" s="177"/>
      <c r="DX72" s="70"/>
      <c r="DY72" s="70"/>
      <c r="DZ72" s="71"/>
      <c r="EA72" s="71"/>
      <c r="EB72" s="180"/>
      <c r="EC72" s="180"/>
      <c r="ED72" s="71"/>
      <c r="EE72" s="180"/>
      <c r="EF72" s="66"/>
      <c r="EG72" s="66"/>
      <c r="EH72" s="79"/>
      <c r="EI72" s="66"/>
      <c r="EJ72" s="79"/>
      <c r="EK72" s="66"/>
      <c r="EL72" s="168"/>
      <c r="EM72" s="67"/>
      <c r="EN72" s="78"/>
      <c r="EO72" s="78"/>
      <c r="EP72" s="78"/>
      <c r="EQ72" s="78"/>
      <c r="ER72" s="79" t="e">
        <f t="shared" si="18"/>
        <v>#DIV/0!</v>
      </c>
      <c r="ES72" s="66"/>
      <c r="ET72" s="66"/>
      <c r="EU72" s="66"/>
      <c r="EV72" s="79"/>
      <c r="EW72" s="66"/>
      <c r="EX72" s="66"/>
      <c r="EY72" s="66"/>
      <c r="EZ72" s="66"/>
      <c r="FA72" s="66"/>
      <c r="FB72" s="66"/>
    </row>
    <row r="73" spans="1:158" hidden="1" x14ac:dyDescent="0.3">
      <c r="A73" s="86">
        <v>44690</v>
      </c>
      <c r="B73" s="86"/>
      <c r="C73" s="96"/>
      <c r="D73" s="93"/>
      <c r="E73" s="93"/>
      <c r="F73" s="96"/>
      <c r="G73" s="96"/>
      <c r="H73" s="96"/>
      <c r="I73" s="96"/>
      <c r="J73" s="96"/>
      <c r="X73" s="72"/>
      <c r="Y73" s="73"/>
      <c r="Z73" s="73"/>
      <c r="AA73" s="72"/>
      <c r="AB73" s="72"/>
      <c r="AC73" s="72"/>
      <c r="AD73" s="72"/>
      <c r="AE73" s="72"/>
      <c r="AF73" s="72"/>
      <c r="AI73" s="96">
        <v>260.42226487523988</v>
      </c>
      <c r="AJ73" s="96">
        <v>291.60804517982757</v>
      </c>
      <c r="AK73" s="96">
        <v>22.858122001370802</v>
      </c>
      <c r="AL73" s="87">
        <f t="shared" si="7"/>
        <v>-31.185780304587695</v>
      </c>
      <c r="AW73" s="72"/>
      <c r="AX73" s="75">
        <v>130</v>
      </c>
      <c r="AY73" s="75"/>
      <c r="AZ73" s="75">
        <f t="shared" si="20"/>
        <v>76.872570469299575</v>
      </c>
      <c r="BA73" s="75">
        <f t="shared" si="21"/>
        <v>94.793366148105591</v>
      </c>
      <c r="BB73" s="72"/>
      <c r="BC73" s="72"/>
      <c r="BD73" s="72"/>
      <c r="BE73" s="72"/>
      <c r="BG73" s="74">
        <v>6.91</v>
      </c>
      <c r="BH73" s="93"/>
      <c r="BI73" s="93"/>
      <c r="BJ73" s="93"/>
      <c r="BK73" s="88"/>
      <c r="BL73" s="88"/>
      <c r="BM73" s="88"/>
      <c r="BN73" s="88"/>
      <c r="BO73" s="88"/>
      <c r="CC73" s="72"/>
      <c r="CD73" s="72"/>
      <c r="CE73" s="72"/>
      <c r="CF73" s="72"/>
      <c r="CG73" s="72"/>
      <c r="CH73" s="72"/>
      <c r="CI73" s="72"/>
      <c r="CJ73" s="72"/>
      <c r="CM73" s="69"/>
      <c r="CN73" s="69"/>
      <c r="CO73" s="69"/>
      <c r="CP73" s="69"/>
      <c r="CQ73" s="76"/>
      <c r="CR73" s="76"/>
      <c r="CS73" s="177"/>
      <c r="CT73" s="70"/>
      <c r="CU73" s="76"/>
      <c r="CV73" s="77"/>
      <c r="CW73" s="77"/>
      <c r="CX73" s="77"/>
      <c r="CY73" s="77"/>
      <c r="CZ73" s="77"/>
      <c r="DA73" s="66"/>
      <c r="DB73" s="66"/>
      <c r="DC73" s="66"/>
      <c r="DD73" s="66"/>
      <c r="DE73" s="66"/>
      <c r="DF73" s="66"/>
      <c r="DG73" s="66"/>
      <c r="DH73" s="66"/>
      <c r="DI73" s="168"/>
      <c r="DJ73" s="67"/>
      <c r="DK73" s="69"/>
      <c r="DL73" s="69"/>
      <c r="DM73" s="69"/>
      <c r="DN73" s="69"/>
      <c r="DO73" s="69"/>
      <c r="DP73" s="69"/>
      <c r="DQ73" s="69"/>
      <c r="DR73" s="69"/>
      <c r="DS73" s="70"/>
      <c r="DT73" s="70"/>
      <c r="DU73" s="70"/>
      <c r="DV73" s="177"/>
      <c r="DW73" s="177"/>
      <c r="DX73" s="70"/>
      <c r="DY73" s="70"/>
      <c r="DZ73" s="71"/>
      <c r="EA73" s="71"/>
      <c r="EB73" s="180"/>
      <c r="EC73" s="180"/>
      <c r="ED73" s="71"/>
      <c r="EE73" s="180"/>
      <c r="EF73" s="66"/>
      <c r="EG73" s="66"/>
      <c r="EH73" s="79"/>
      <c r="EI73" s="66"/>
      <c r="EJ73" s="79"/>
      <c r="EK73" s="66"/>
      <c r="EL73" s="168"/>
      <c r="EM73" s="67"/>
      <c r="EN73" s="78"/>
      <c r="EO73" s="78"/>
      <c r="EP73" s="78"/>
      <c r="EQ73" s="78"/>
      <c r="ER73" s="79" t="e">
        <f t="shared" si="18"/>
        <v>#DIV/0!</v>
      </c>
      <c r="ES73" s="66"/>
      <c r="ET73" s="66"/>
      <c r="EU73" s="66"/>
      <c r="EV73" s="79"/>
      <c r="EW73" s="66"/>
      <c r="EX73" s="66"/>
      <c r="EY73" s="66"/>
      <c r="EZ73" s="66"/>
      <c r="FA73" s="66"/>
      <c r="FB73" s="66"/>
    </row>
    <row r="74" spans="1:158" hidden="1" x14ac:dyDescent="0.3">
      <c r="A74" s="86">
        <v>44691</v>
      </c>
      <c r="B74" s="86"/>
      <c r="C74" s="96"/>
      <c r="D74" s="93"/>
      <c r="E74" s="93"/>
      <c r="F74" s="96"/>
      <c r="G74" s="96"/>
      <c r="H74" s="96"/>
      <c r="I74" s="96"/>
      <c r="J74" s="96"/>
      <c r="X74" s="72"/>
      <c r="Y74" s="73"/>
      <c r="Z74" s="73"/>
      <c r="AA74" s="72"/>
      <c r="AB74" s="72"/>
      <c r="AC74" s="72"/>
      <c r="AD74" s="72"/>
      <c r="AE74" s="72"/>
      <c r="AF74" s="72"/>
      <c r="AI74" s="96">
        <v>762.43122200895709</v>
      </c>
      <c r="AJ74" s="96">
        <v>288.83384523927469</v>
      </c>
      <c r="AK74" s="96">
        <v>23.180260452364632</v>
      </c>
      <c r="AL74" s="87">
        <f t="shared" si="7"/>
        <v>473.5973767696824</v>
      </c>
      <c r="AW74" s="72"/>
      <c r="AX74" s="75"/>
      <c r="AY74" s="75"/>
      <c r="AZ74" s="75">
        <f t="shared" si="20"/>
        <v>1678.9533543916179</v>
      </c>
      <c r="BA74" s="75"/>
      <c r="BB74" s="72">
        <v>65</v>
      </c>
      <c r="BC74" s="72"/>
      <c r="BD74" s="72"/>
      <c r="BE74" s="72"/>
      <c r="BG74" s="74">
        <v>6.86</v>
      </c>
      <c r="BH74" s="93"/>
      <c r="BI74" s="93"/>
      <c r="BJ74" s="93"/>
      <c r="BK74" s="88"/>
      <c r="BL74" s="88"/>
      <c r="BM74" s="88"/>
      <c r="BN74" s="88"/>
      <c r="BO74" s="88"/>
      <c r="CC74" s="72"/>
      <c r="CD74" s="72"/>
      <c r="CE74" s="72"/>
      <c r="CF74" s="72"/>
      <c r="CG74" s="72"/>
      <c r="CH74" s="72"/>
      <c r="CI74" s="72"/>
      <c r="CJ74" s="72"/>
      <c r="CM74" s="69"/>
      <c r="CN74" s="69"/>
      <c r="CO74" s="69"/>
      <c r="CP74" s="69"/>
      <c r="CQ74" s="76"/>
      <c r="CR74" s="76"/>
      <c r="CS74" s="177"/>
      <c r="CT74" s="70"/>
      <c r="CU74" s="76"/>
      <c r="CV74" s="77"/>
      <c r="CW74" s="77"/>
      <c r="CX74" s="77"/>
      <c r="CY74" s="77"/>
      <c r="CZ74" s="77"/>
      <c r="DA74" s="66"/>
      <c r="DB74" s="66"/>
      <c r="DC74" s="66"/>
      <c r="DD74" s="66"/>
      <c r="DE74" s="66"/>
      <c r="DF74" s="66"/>
      <c r="DG74" s="66"/>
      <c r="DH74" s="66"/>
      <c r="DI74" s="168"/>
      <c r="DJ74" s="67"/>
      <c r="DK74" s="69"/>
      <c r="DL74" s="69"/>
      <c r="DM74" s="69"/>
      <c r="DN74" s="69"/>
      <c r="DO74" s="69"/>
      <c r="DP74" s="69"/>
      <c r="DQ74" s="69"/>
      <c r="DR74" s="69"/>
      <c r="DS74" s="70"/>
      <c r="DT74" s="70"/>
      <c r="DU74" s="70"/>
      <c r="DV74" s="177"/>
      <c r="DW74" s="177"/>
      <c r="DX74" s="70"/>
      <c r="DY74" s="70"/>
      <c r="DZ74" s="71"/>
      <c r="EA74" s="71"/>
      <c r="EB74" s="180"/>
      <c r="EC74" s="180"/>
      <c r="ED74" s="71"/>
      <c r="EE74" s="180"/>
      <c r="EF74" s="66"/>
      <c r="EG74" s="66"/>
      <c r="EH74" s="79"/>
      <c r="EI74" s="66"/>
      <c r="EJ74" s="79"/>
      <c r="EK74" s="66"/>
      <c r="EL74" s="168"/>
      <c r="EM74" s="67"/>
      <c r="EN74" s="78"/>
      <c r="EO74" s="78"/>
      <c r="EP74" s="78"/>
      <c r="EQ74" s="78"/>
      <c r="ER74" s="79" t="e">
        <f t="shared" si="18"/>
        <v>#DIV/0!</v>
      </c>
      <c r="ES74" s="66"/>
      <c r="ET74" s="66"/>
      <c r="EU74" s="66"/>
      <c r="EV74" s="79"/>
      <c r="EW74" s="66"/>
      <c r="EX74" s="66"/>
      <c r="EY74" s="66"/>
      <c r="EZ74" s="66"/>
      <c r="FA74" s="66"/>
      <c r="FB74" s="66"/>
    </row>
    <row r="75" spans="1:158" hidden="1" x14ac:dyDescent="0.3">
      <c r="A75" s="86">
        <v>44692</v>
      </c>
      <c r="B75" s="86"/>
      <c r="C75" s="96"/>
      <c r="D75" s="93"/>
      <c r="E75" s="93"/>
      <c r="F75" s="96"/>
      <c r="G75" s="96"/>
      <c r="H75" s="96"/>
      <c r="I75" s="96"/>
      <c r="J75" s="96"/>
      <c r="X75" s="72"/>
      <c r="Y75" s="73"/>
      <c r="Z75" s="73"/>
      <c r="AA75" s="72"/>
      <c r="AB75" s="72"/>
      <c r="AC75" s="72"/>
      <c r="AD75" s="72"/>
      <c r="AE75" s="72"/>
      <c r="AF75" s="72"/>
      <c r="AI75" s="96">
        <v>309.58121038896485</v>
      </c>
      <c r="AJ75" s="96">
        <v>208.09835105863988</v>
      </c>
      <c r="AK75" s="96">
        <v>17.988165680473372</v>
      </c>
      <c r="AL75" s="87">
        <f t="shared" si="7"/>
        <v>101.48285933032497</v>
      </c>
      <c r="AW75" s="72">
        <v>25</v>
      </c>
      <c r="AX75" s="75">
        <v>590</v>
      </c>
      <c r="AY75" s="75"/>
      <c r="AZ75" s="75">
        <f t="shared" si="20"/>
        <v>497.93629894258538</v>
      </c>
      <c r="BA75" s="75">
        <f t="shared" si="21"/>
        <v>70.342457838978106</v>
      </c>
      <c r="BB75" s="72"/>
      <c r="BC75" s="72"/>
      <c r="BD75" s="72"/>
      <c r="BE75" s="72"/>
      <c r="BG75" s="74">
        <v>6.92</v>
      </c>
      <c r="BH75" s="93"/>
      <c r="BI75" s="93"/>
      <c r="BJ75" s="93"/>
      <c r="BK75" s="88"/>
      <c r="BL75" s="88"/>
      <c r="BM75" s="88"/>
      <c r="BN75" s="88"/>
      <c r="BO75" s="88"/>
      <c r="CC75" s="72"/>
      <c r="CD75" s="72"/>
      <c r="CE75" s="72"/>
      <c r="CF75" s="72"/>
      <c r="CG75" s="72"/>
      <c r="CH75" s="72"/>
      <c r="CI75" s="72"/>
      <c r="CJ75" s="72"/>
      <c r="CM75" s="69"/>
      <c r="CN75" s="69"/>
      <c r="CO75" s="69"/>
      <c r="CP75" s="69"/>
      <c r="CQ75" s="76"/>
      <c r="CR75" s="76"/>
      <c r="CS75" s="177"/>
      <c r="CT75" s="70"/>
      <c r="CU75" s="76"/>
      <c r="CV75" s="77"/>
      <c r="CW75" s="77"/>
      <c r="CX75" s="77"/>
      <c r="CY75" s="77"/>
      <c r="CZ75" s="77"/>
      <c r="DA75" s="66"/>
      <c r="DB75" s="66"/>
      <c r="DC75" s="66"/>
      <c r="DD75" s="66"/>
      <c r="DE75" s="66"/>
      <c r="DF75" s="66"/>
      <c r="DG75" s="66"/>
      <c r="DH75" s="66"/>
      <c r="DI75" s="168"/>
      <c r="DJ75" s="67"/>
      <c r="DK75" s="69"/>
      <c r="DL75" s="69"/>
      <c r="DM75" s="69"/>
      <c r="DN75" s="69"/>
      <c r="DO75" s="69"/>
      <c r="DP75" s="69"/>
      <c r="DQ75" s="69"/>
      <c r="DR75" s="69"/>
      <c r="DS75" s="70"/>
      <c r="DT75" s="70"/>
      <c r="DU75" s="70"/>
      <c r="DV75" s="177"/>
      <c r="DW75" s="177"/>
      <c r="DX75" s="70"/>
      <c r="DY75" s="70"/>
      <c r="DZ75" s="71"/>
      <c r="EA75" s="71"/>
      <c r="EB75" s="180"/>
      <c r="EC75" s="180"/>
      <c r="ED75" s="71"/>
      <c r="EE75" s="180"/>
      <c r="EF75" s="66"/>
      <c r="EG75" s="66"/>
      <c r="EH75" s="79"/>
      <c r="EI75" s="66"/>
      <c r="EJ75" s="79"/>
      <c r="EK75" s="66"/>
      <c r="EL75" s="168"/>
      <c r="EM75" s="67"/>
      <c r="EN75" s="78"/>
      <c r="EO75" s="78"/>
      <c r="EP75" s="78"/>
      <c r="EQ75" s="78"/>
      <c r="ER75" s="79" t="e">
        <f t="shared" si="18"/>
        <v>#DIV/0!</v>
      </c>
      <c r="ES75" s="66"/>
      <c r="ET75" s="66"/>
      <c r="EU75" s="66"/>
      <c r="EV75" s="79"/>
      <c r="EW75" s="66"/>
      <c r="EX75" s="66"/>
      <c r="EY75" s="66"/>
      <c r="EZ75" s="66"/>
      <c r="FA75" s="66"/>
      <c r="FB75" s="66"/>
    </row>
    <row r="76" spans="1:158" hidden="1" x14ac:dyDescent="0.3">
      <c r="A76" s="86">
        <v>44692</v>
      </c>
      <c r="B76" s="86"/>
      <c r="C76" s="96"/>
      <c r="D76" s="93"/>
      <c r="E76" s="93"/>
      <c r="F76" s="96"/>
      <c r="G76" s="96"/>
      <c r="H76" s="96"/>
      <c r="I76" s="96"/>
      <c r="J76" s="96"/>
      <c r="X76" s="72"/>
      <c r="Y76" s="73"/>
      <c r="Z76" s="73"/>
      <c r="AA76" s="72"/>
      <c r="AB76" s="72"/>
      <c r="AC76" s="72"/>
      <c r="AD76" s="72"/>
      <c r="AE76" s="72"/>
      <c r="AF76" s="72"/>
      <c r="AI76" s="96">
        <v>379.37119423387594</v>
      </c>
      <c r="AJ76" s="96">
        <v>182.33974046248417</v>
      </c>
      <c r="AK76" s="96">
        <v>29.808960270498734</v>
      </c>
      <c r="AL76" s="87">
        <f t="shared" si="7"/>
        <v>197.03145377139177</v>
      </c>
      <c r="AW76" s="72"/>
      <c r="AX76" s="75">
        <v>740</v>
      </c>
      <c r="AY76" s="75"/>
      <c r="AZ76" s="75">
        <f t="shared" si="20"/>
        <v>801.18842797964317</v>
      </c>
      <c r="BA76" s="75"/>
      <c r="BB76" s="72"/>
      <c r="BC76" s="72"/>
      <c r="BD76" s="72"/>
      <c r="BE76" s="72"/>
      <c r="BG76" s="74">
        <v>7.05</v>
      </c>
      <c r="BH76" s="93"/>
      <c r="BI76" s="93"/>
      <c r="BJ76" s="93"/>
      <c r="BK76" s="88"/>
      <c r="BL76" s="88"/>
      <c r="BM76" s="88"/>
      <c r="BN76" s="88"/>
      <c r="BO76" s="88"/>
      <c r="CC76" s="72"/>
      <c r="CD76" s="72"/>
      <c r="CE76" s="72"/>
      <c r="CF76" s="72"/>
      <c r="CG76" s="72"/>
      <c r="CH76" s="72"/>
      <c r="CI76" s="72"/>
      <c r="CJ76" s="72"/>
      <c r="CM76" s="69"/>
      <c r="CN76" s="69"/>
      <c r="CO76" s="69"/>
      <c r="CP76" s="69"/>
      <c r="CQ76" s="76"/>
      <c r="CR76" s="76"/>
      <c r="CS76" s="177"/>
      <c r="CT76" s="70"/>
      <c r="CU76" s="76"/>
      <c r="CV76" s="77"/>
      <c r="CW76" s="77"/>
      <c r="CX76" s="77"/>
      <c r="CY76" s="77"/>
      <c r="CZ76" s="77"/>
      <c r="DA76" s="66"/>
      <c r="DB76" s="66"/>
      <c r="DC76" s="66"/>
      <c r="DD76" s="66"/>
      <c r="DE76" s="66"/>
      <c r="DF76" s="66"/>
      <c r="DG76" s="66"/>
      <c r="DH76" s="66"/>
      <c r="DI76" s="168"/>
      <c r="DJ76" s="67"/>
      <c r="DK76" s="69"/>
      <c r="DL76" s="69"/>
      <c r="DM76" s="69"/>
      <c r="DN76" s="69"/>
      <c r="DO76" s="69"/>
      <c r="DP76" s="69"/>
      <c r="DQ76" s="69"/>
      <c r="DR76" s="69"/>
      <c r="DS76" s="70"/>
      <c r="DT76" s="70"/>
      <c r="DU76" s="70"/>
      <c r="DV76" s="177"/>
      <c r="DW76" s="177"/>
      <c r="DX76" s="70"/>
      <c r="DY76" s="70"/>
      <c r="DZ76" s="71"/>
      <c r="EA76" s="71"/>
      <c r="EB76" s="180"/>
      <c r="EC76" s="180"/>
      <c r="ED76" s="71"/>
      <c r="EE76" s="180"/>
      <c r="EF76" s="66"/>
      <c r="EG76" s="66"/>
      <c r="EH76" s="79"/>
      <c r="EI76" s="66"/>
      <c r="EJ76" s="79"/>
      <c r="EK76" s="66"/>
      <c r="EL76" s="168"/>
      <c r="EM76" s="67"/>
      <c r="EN76" s="78"/>
      <c r="EO76" s="78"/>
      <c r="EP76" s="78"/>
      <c r="EQ76" s="78"/>
      <c r="ER76" s="79" t="e">
        <f t="shared" si="18"/>
        <v>#DIV/0!</v>
      </c>
      <c r="ES76" s="66"/>
      <c r="ET76" s="66"/>
      <c r="EU76" s="66"/>
      <c r="EV76" s="79"/>
      <c r="EW76" s="66"/>
      <c r="EX76" s="66"/>
      <c r="EY76" s="66"/>
      <c r="EZ76" s="66"/>
      <c r="FA76" s="66"/>
      <c r="FB76" s="66"/>
    </row>
    <row r="77" spans="1:158" hidden="1" x14ac:dyDescent="0.3">
      <c r="A77" s="86">
        <v>44693</v>
      </c>
      <c r="B77" s="86"/>
      <c r="C77" s="96"/>
      <c r="D77" s="93"/>
      <c r="E77" s="93"/>
      <c r="F77" s="96"/>
      <c r="G77" s="96"/>
      <c r="H77" s="96"/>
      <c r="I77" s="96"/>
      <c r="J77" s="96"/>
      <c r="X77" s="72"/>
      <c r="Y77" s="73"/>
      <c r="Z77" s="73"/>
      <c r="AA77" s="72"/>
      <c r="AB77" s="72"/>
      <c r="AC77" s="72"/>
      <c r="AD77" s="72"/>
      <c r="AE77" s="72"/>
      <c r="AF77" s="72"/>
      <c r="AI77" s="96">
        <v>280.94942214489879</v>
      </c>
      <c r="AJ77" s="96">
        <v>219.65069762903696</v>
      </c>
      <c r="AK77" s="96">
        <v>17.913778529163146</v>
      </c>
      <c r="AL77" s="87">
        <f t="shared" si="7"/>
        <v>61.298724515861835</v>
      </c>
      <c r="AW77" s="72"/>
      <c r="AX77" s="75">
        <v>360</v>
      </c>
      <c r="AY77" s="75"/>
      <c r="AZ77" s="75">
        <f t="shared" si="20"/>
        <v>370.3998918684423</v>
      </c>
      <c r="BA77" s="75">
        <f t="shared" si="21"/>
        <v>53.76869174178168</v>
      </c>
      <c r="BB77" s="72">
        <v>29</v>
      </c>
      <c r="BC77" s="72"/>
      <c r="BD77" s="72"/>
      <c r="BE77" s="72"/>
      <c r="BG77" s="74">
        <v>6.78</v>
      </c>
      <c r="BH77" s="93"/>
      <c r="BI77" s="93"/>
      <c r="BJ77" s="93"/>
      <c r="BK77" s="88"/>
      <c r="BL77" s="88"/>
      <c r="BM77" s="88"/>
      <c r="BN77" s="88"/>
      <c r="BO77" s="88"/>
      <c r="CC77" s="72"/>
      <c r="CD77" s="72">
        <v>400</v>
      </c>
      <c r="CE77" s="72"/>
      <c r="CF77" s="72"/>
      <c r="CG77" s="72"/>
      <c r="CH77" s="72"/>
      <c r="CI77" s="72"/>
      <c r="CJ77" s="72"/>
      <c r="CM77" s="69"/>
      <c r="CN77" s="69"/>
      <c r="CO77" s="69"/>
      <c r="CP77" s="69"/>
      <c r="CQ77" s="76"/>
      <c r="CR77" s="76"/>
      <c r="CS77" s="177"/>
      <c r="CT77" s="70"/>
      <c r="CU77" s="76"/>
      <c r="CV77" s="77"/>
      <c r="CW77" s="77"/>
      <c r="CX77" s="77"/>
      <c r="CY77" s="77"/>
      <c r="CZ77" s="77"/>
      <c r="DA77" s="66"/>
      <c r="DB77" s="66"/>
      <c r="DC77" s="66"/>
      <c r="DD77" s="66"/>
      <c r="DE77" s="66"/>
      <c r="DF77" s="66"/>
      <c r="DG77" s="66"/>
      <c r="DH77" s="66"/>
      <c r="DI77" s="168"/>
      <c r="DJ77" s="67"/>
      <c r="DK77" s="69"/>
      <c r="DL77" s="69"/>
      <c r="DM77" s="69"/>
      <c r="DN77" s="69"/>
      <c r="DO77" s="69"/>
      <c r="DP77" s="69"/>
      <c r="DQ77" s="69"/>
      <c r="DR77" s="69"/>
      <c r="DS77" s="70"/>
      <c r="DT77" s="70"/>
      <c r="DU77" s="70"/>
      <c r="DV77" s="177"/>
      <c r="DW77" s="177"/>
      <c r="DX77" s="70"/>
      <c r="DY77" s="70"/>
      <c r="DZ77" s="71"/>
      <c r="EA77" s="71"/>
      <c r="EB77" s="180"/>
      <c r="EC77" s="180"/>
      <c r="ED77" s="71"/>
      <c r="EE77" s="180"/>
      <c r="EF77" s="66"/>
      <c r="EG77" s="66"/>
      <c r="EH77" s="79"/>
      <c r="EI77" s="66"/>
      <c r="EJ77" s="79"/>
      <c r="EK77" s="66"/>
      <c r="EL77" s="168"/>
      <c r="EM77" s="67"/>
      <c r="EN77" s="78"/>
      <c r="EO77" s="78"/>
      <c r="EP77" s="78"/>
      <c r="EQ77" s="78"/>
      <c r="ER77" s="79" t="e">
        <f t="shared" si="18"/>
        <v>#DIV/0!</v>
      </c>
      <c r="ES77" s="66"/>
      <c r="ET77" s="66"/>
      <c r="EU77" s="66"/>
      <c r="EV77" s="79"/>
      <c r="EW77" s="66"/>
      <c r="EX77" s="66"/>
      <c r="EY77" s="66"/>
      <c r="EZ77" s="66"/>
      <c r="FA77" s="66"/>
      <c r="FB77" s="66"/>
    </row>
    <row r="78" spans="1:158" hidden="1" x14ac:dyDescent="0.3">
      <c r="A78" s="86">
        <v>44693</v>
      </c>
      <c r="B78" s="86"/>
      <c r="C78" s="96"/>
      <c r="D78" s="93"/>
      <c r="E78" s="93"/>
      <c r="F78" s="96"/>
      <c r="G78" s="96"/>
      <c r="H78" s="96"/>
      <c r="I78" s="96"/>
      <c r="J78" s="96"/>
      <c r="X78" s="72"/>
      <c r="Y78" s="73"/>
      <c r="Z78" s="73"/>
      <c r="AA78" s="72"/>
      <c r="AB78" s="72"/>
      <c r="AC78" s="72"/>
      <c r="AD78" s="72"/>
      <c r="AE78" s="72"/>
      <c r="AF78" s="72"/>
      <c r="AI78" s="96">
        <v>281.64533366471971</v>
      </c>
      <c r="AJ78" s="96">
        <v>210.7522685140014</v>
      </c>
      <c r="AK78" s="96">
        <v>18.089602704987318</v>
      </c>
      <c r="AL78" s="87">
        <f t="shared" si="7"/>
        <v>70.893065150718314</v>
      </c>
      <c r="AW78" s="72"/>
      <c r="AX78" s="75"/>
      <c r="AY78" s="75"/>
      <c r="AZ78" s="75">
        <f t="shared" si="20"/>
        <v>400.85041017534979</v>
      </c>
      <c r="BA78" s="75"/>
      <c r="BB78" s="72"/>
      <c r="BC78" s="72"/>
      <c r="BD78" s="72"/>
      <c r="BE78" s="72"/>
      <c r="BG78" s="74">
        <v>6.95</v>
      </c>
      <c r="BH78" s="93"/>
      <c r="BI78" s="93"/>
      <c r="BJ78" s="93"/>
      <c r="BK78" s="88"/>
      <c r="BL78" s="88"/>
      <c r="BM78" s="88"/>
      <c r="BN78" s="88"/>
      <c r="BO78" s="88"/>
      <c r="CC78" s="72"/>
      <c r="CD78" s="72"/>
      <c r="CE78" s="72"/>
      <c r="CF78" s="72"/>
      <c r="CG78" s="72"/>
      <c r="CH78" s="72"/>
      <c r="CI78" s="72"/>
      <c r="CJ78" s="72"/>
      <c r="CM78" s="69"/>
      <c r="CN78" s="69"/>
      <c r="CO78" s="69"/>
      <c r="CP78" s="69"/>
      <c r="CQ78" s="76"/>
      <c r="CR78" s="76"/>
      <c r="CS78" s="177"/>
      <c r="CT78" s="70"/>
      <c r="CU78" s="76"/>
      <c r="CV78" s="77"/>
      <c r="CW78" s="77"/>
      <c r="CX78" s="77"/>
      <c r="CY78" s="77"/>
      <c r="CZ78" s="77"/>
      <c r="DA78" s="66"/>
      <c r="DB78" s="66"/>
      <c r="DC78" s="66"/>
      <c r="DD78" s="66"/>
      <c r="DE78" s="66"/>
      <c r="DF78" s="66"/>
      <c r="DG78" s="66"/>
      <c r="DH78" s="66"/>
      <c r="DI78" s="168"/>
      <c r="DJ78" s="67"/>
      <c r="DK78" s="69"/>
      <c r="DL78" s="69"/>
      <c r="DM78" s="69"/>
      <c r="DN78" s="69"/>
      <c r="DO78" s="69"/>
      <c r="DP78" s="69"/>
      <c r="DQ78" s="69"/>
      <c r="DR78" s="69"/>
      <c r="DS78" s="70"/>
      <c r="DT78" s="70"/>
      <c r="DU78" s="70"/>
      <c r="DV78" s="177"/>
      <c r="DW78" s="177"/>
      <c r="DX78" s="70"/>
      <c r="DY78" s="70"/>
      <c r="DZ78" s="71"/>
      <c r="EA78" s="71"/>
      <c r="EB78" s="180"/>
      <c r="EC78" s="180"/>
      <c r="ED78" s="71"/>
      <c r="EE78" s="180"/>
      <c r="EF78" s="66"/>
      <c r="EG78" s="66"/>
      <c r="EH78" s="79"/>
      <c r="EI78" s="66"/>
      <c r="EJ78" s="79"/>
      <c r="EK78" s="66"/>
      <c r="EL78" s="168"/>
      <c r="EM78" s="67"/>
      <c r="EN78" s="78"/>
      <c r="EO78" s="78"/>
      <c r="EP78" s="78"/>
      <c r="EQ78" s="78"/>
      <c r="ER78" s="79" t="e">
        <f t="shared" si="18"/>
        <v>#DIV/0!</v>
      </c>
      <c r="ES78" s="66"/>
      <c r="ET78" s="66"/>
      <c r="EU78" s="66"/>
      <c r="EV78" s="79"/>
      <c r="EW78" s="66"/>
      <c r="EX78" s="66"/>
      <c r="EY78" s="66"/>
      <c r="EZ78" s="66"/>
      <c r="FA78" s="66"/>
      <c r="FB78" s="66"/>
    </row>
    <row r="79" spans="1:158" hidden="1" x14ac:dyDescent="0.3">
      <c r="A79" s="86">
        <v>44694</v>
      </c>
      <c r="B79" s="86"/>
      <c r="C79" s="96"/>
      <c r="D79" s="93"/>
      <c r="E79" s="93"/>
      <c r="F79" s="96"/>
      <c r="G79" s="96"/>
      <c r="H79" s="96"/>
      <c r="I79" s="96"/>
      <c r="J79" s="96"/>
      <c r="X79" s="72"/>
      <c r="Y79" s="73"/>
      <c r="Z79" s="73"/>
      <c r="AA79" s="72"/>
      <c r="AB79" s="72"/>
      <c r="AC79" s="72"/>
      <c r="AD79" s="72"/>
      <c r="AE79" s="72"/>
      <c r="AF79" s="72"/>
      <c r="AI79" s="96">
        <v>272.076105204253</v>
      </c>
      <c r="AJ79" s="96">
        <v>299.28260613900972</v>
      </c>
      <c r="AK79" s="96">
        <v>18.350298350298353</v>
      </c>
      <c r="AL79" s="87">
        <f t="shared" si="7"/>
        <v>-27.206500934756718</v>
      </c>
      <c r="AM79" s="70">
        <v>29.500399999999999</v>
      </c>
      <c r="AO79" s="70">
        <v>0.1061</v>
      </c>
      <c r="AP79" s="70">
        <v>5.5467000000000004</v>
      </c>
      <c r="AQ79" s="70">
        <v>0.68479999999999996</v>
      </c>
      <c r="AR79" s="71">
        <v>351.67689999999999</v>
      </c>
      <c r="AW79" s="72"/>
      <c r="AX79" s="75">
        <v>110</v>
      </c>
      <c r="AY79" s="75"/>
      <c r="AZ79" s="75">
        <f t="shared" si="20"/>
        <v>89.50200733326912</v>
      </c>
      <c r="BA79" s="75"/>
      <c r="BB79" s="72"/>
      <c r="BC79" s="72"/>
      <c r="BD79" s="72"/>
      <c r="BE79" s="72"/>
      <c r="BG79" s="74">
        <v>6.97</v>
      </c>
      <c r="BH79" s="93"/>
      <c r="BI79" s="93"/>
      <c r="BJ79" s="93"/>
      <c r="BK79" s="88"/>
      <c r="BL79" s="88"/>
      <c r="BM79" s="88"/>
      <c r="BN79" s="88"/>
      <c r="BO79" s="88"/>
      <c r="CC79" s="72"/>
      <c r="CD79" s="72"/>
      <c r="CE79" s="72"/>
      <c r="CF79" s="72"/>
      <c r="CG79" s="72"/>
      <c r="CH79" s="72"/>
      <c r="CI79" s="72"/>
      <c r="CJ79" s="72"/>
      <c r="CM79" s="69"/>
      <c r="CN79" s="69"/>
      <c r="CO79" s="69"/>
      <c r="CP79" s="69"/>
      <c r="CQ79" s="76"/>
      <c r="CR79" s="76"/>
      <c r="CS79" s="177"/>
      <c r="CT79" s="70"/>
      <c r="CU79" s="76"/>
      <c r="CV79" s="77"/>
      <c r="CW79" s="77"/>
      <c r="CX79" s="77"/>
      <c r="CY79" s="77"/>
      <c r="CZ79" s="77"/>
      <c r="DA79" s="66"/>
      <c r="DB79" s="66"/>
      <c r="DC79" s="66"/>
      <c r="DD79" s="66"/>
      <c r="DE79" s="66"/>
      <c r="DF79" s="66"/>
      <c r="DG79" s="66"/>
      <c r="DH79" s="66"/>
      <c r="DI79" s="168"/>
      <c r="DJ79" s="67"/>
      <c r="DK79" s="69"/>
      <c r="DL79" s="69"/>
      <c r="DM79" s="69"/>
      <c r="DN79" s="69"/>
      <c r="DO79" s="69"/>
      <c r="DP79" s="69"/>
      <c r="DQ79" s="69"/>
      <c r="DR79" s="69"/>
      <c r="DS79" s="70"/>
      <c r="DT79" s="70"/>
      <c r="DU79" s="70"/>
      <c r="DV79" s="177"/>
      <c r="DW79" s="177"/>
      <c r="DX79" s="70"/>
      <c r="DY79" s="70"/>
      <c r="DZ79" s="71"/>
      <c r="EA79" s="71"/>
      <c r="EB79" s="180"/>
      <c r="EC79" s="180"/>
      <c r="ED79" s="71"/>
      <c r="EE79" s="180"/>
      <c r="EF79" s="66"/>
      <c r="EG79" s="66"/>
      <c r="EH79" s="79"/>
      <c r="EI79" s="66"/>
      <c r="EJ79" s="79"/>
      <c r="EK79" s="66"/>
      <c r="EL79" s="168"/>
      <c r="EM79" s="67"/>
      <c r="EN79" s="78"/>
      <c r="EO79" s="78"/>
      <c r="EP79" s="78"/>
      <c r="EQ79" s="78"/>
      <c r="ER79" s="79" t="e">
        <f t="shared" si="18"/>
        <v>#DIV/0!</v>
      </c>
      <c r="ES79" s="66"/>
      <c r="ET79" s="66"/>
      <c r="EU79" s="66"/>
      <c r="EV79" s="79"/>
      <c r="EW79" s="66"/>
      <c r="EX79" s="66"/>
      <c r="EY79" s="66"/>
      <c r="EZ79" s="66"/>
      <c r="FA79" s="66"/>
      <c r="FB79" s="66"/>
    </row>
    <row r="80" spans="1:158" hidden="1" x14ac:dyDescent="0.3">
      <c r="A80" s="86">
        <v>44694</v>
      </c>
      <c r="B80" s="86"/>
      <c r="C80" s="96"/>
      <c r="D80" s="93"/>
      <c r="E80" s="93"/>
      <c r="F80" s="96"/>
      <c r="G80" s="96"/>
      <c r="H80" s="96"/>
      <c r="I80" s="96"/>
      <c r="J80" s="96"/>
      <c r="X80" s="72"/>
      <c r="Y80" s="73"/>
      <c r="Z80" s="73"/>
      <c r="AA80" s="72"/>
      <c r="AB80" s="72"/>
      <c r="AC80" s="72"/>
      <c r="AD80" s="72"/>
      <c r="AE80" s="72"/>
      <c r="AF80" s="72"/>
      <c r="AI80" s="96">
        <v>933.40794627867945</v>
      </c>
      <c r="AJ80" s="96">
        <v>265.88262966011996</v>
      </c>
      <c r="AK80" s="96">
        <v>19.36819936819937</v>
      </c>
      <c r="AL80" s="87">
        <f t="shared" si="7"/>
        <v>667.52531661855949</v>
      </c>
      <c r="AW80" s="72"/>
      <c r="AX80" s="98"/>
      <c r="AY80" s="98"/>
      <c r="AZ80" s="75">
        <f t="shared" si="20"/>
        <v>2294.4418498839841</v>
      </c>
      <c r="BA80" s="75"/>
      <c r="BB80" s="72"/>
      <c r="BC80" s="72"/>
      <c r="BD80" s="72"/>
      <c r="BE80" s="72"/>
      <c r="BG80" s="74">
        <v>6.66</v>
      </c>
      <c r="BH80" s="93"/>
      <c r="BI80" s="93"/>
      <c r="BJ80" s="93"/>
      <c r="BK80" s="88"/>
      <c r="BL80" s="88"/>
      <c r="BM80" s="88"/>
      <c r="BN80" s="88"/>
      <c r="BO80" s="88"/>
      <c r="CC80" s="72"/>
      <c r="CD80" s="72"/>
      <c r="CE80" s="72"/>
      <c r="CF80" s="72"/>
      <c r="CG80" s="72"/>
      <c r="CH80" s="72"/>
      <c r="CI80" s="72"/>
      <c r="CJ80" s="72"/>
      <c r="CM80" s="69"/>
      <c r="CN80" s="69"/>
      <c r="CO80" s="69"/>
      <c r="CP80" s="69"/>
      <c r="CQ80" s="76"/>
      <c r="CR80" s="76"/>
      <c r="CS80" s="177"/>
      <c r="CT80" s="70"/>
      <c r="CU80" s="76"/>
      <c r="CV80" s="77"/>
      <c r="CW80" s="77"/>
      <c r="CX80" s="77"/>
      <c r="CY80" s="77"/>
      <c r="CZ80" s="77"/>
      <c r="DA80" s="66"/>
      <c r="DB80" s="66"/>
      <c r="DC80" s="66"/>
      <c r="DD80" s="66"/>
      <c r="DE80" s="66"/>
      <c r="DF80" s="66"/>
      <c r="DG80" s="66"/>
      <c r="DH80" s="66"/>
      <c r="DI80" s="168"/>
      <c r="DJ80" s="67"/>
      <c r="DK80" s="69"/>
      <c r="DL80" s="69"/>
      <c r="DM80" s="69"/>
      <c r="DN80" s="69"/>
      <c r="DO80" s="69"/>
      <c r="DP80" s="69"/>
      <c r="DQ80" s="69"/>
      <c r="DR80" s="69"/>
      <c r="DS80" s="70"/>
      <c r="DT80" s="70"/>
      <c r="DU80" s="70"/>
      <c r="DV80" s="177"/>
      <c r="DW80" s="177"/>
      <c r="DX80" s="70"/>
      <c r="DY80" s="70"/>
      <c r="DZ80" s="71"/>
      <c r="EA80" s="71"/>
      <c r="EB80" s="180"/>
      <c r="EC80" s="180"/>
      <c r="ED80" s="71"/>
      <c r="EE80" s="180"/>
      <c r="EF80" s="66"/>
      <c r="EG80" s="66"/>
      <c r="EH80" s="79"/>
      <c r="EI80" s="66"/>
      <c r="EJ80" s="79"/>
      <c r="EK80" s="66"/>
      <c r="EL80" s="168"/>
      <c r="EM80" s="67"/>
      <c r="EN80" s="78"/>
      <c r="EO80" s="78"/>
      <c r="EP80" s="78"/>
      <c r="EQ80" s="78"/>
      <c r="ER80" s="79" t="e">
        <f t="shared" si="18"/>
        <v>#DIV/0!</v>
      </c>
      <c r="ES80" s="66"/>
      <c r="ET80" s="66"/>
      <c r="EU80" s="66"/>
      <c r="EV80" s="79"/>
      <c r="EW80" s="66"/>
      <c r="EX80" s="66"/>
      <c r="EY80" s="66"/>
      <c r="EZ80" s="66"/>
      <c r="FA80" s="66"/>
      <c r="FB80" s="66"/>
    </row>
    <row r="81" spans="1:158" hidden="1" x14ac:dyDescent="0.3">
      <c r="A81" s="86">
        <v>44698</v>
      </c>
      <c r="B81" s="86"/>
      <c r="C81" s="96"/>
      <c r="D81" s="93"/>
      <c r="E81" s="93"/>
      <c r="F81" s="96"/>
      <c r="G81" s="96"/>
      <c r="H81" s="96"/>
      <c r="I81" s="96"/>
      <c r="J81" s="96"/>
      <c r="X81" s="72"/>
      <c r="Y81" s="73"/>
      <c r="Z81" s="73"/>
      <c r="AA81" s="72"/>
      <c r="AB81" s="72"/>
      <c r="AC81" s="72"/>
      <c r="AD81" s="72"/>
      <c r="AE81" s="72"/>
      <c r="AF81" s="72"/>
      <c r="AI81" s="96">
        <v>362.2831561275882</v>
      </c>
      <c r="AJ81" s="96">
        <v>384.61719393155357</v>
      </c>
      <c r="AK81" s="96">
        <v>21.22850122850123</v>
      </c>
      <c r="AL81" s="87">
        <f t="shared" si="7"/>
        <v>-22.334037803965373</v>
      </c>
      <c r="AM81" s="70">
        <v>27.482900000000001</v>
      </c>
      <c r="AO81" s="70">
        <v>6.9623999999999997</v>
      </c>
      <c r="AP81" s="70">
        <v>12.2685</v>
      </c>
      <c r="AQ81" s="70">
        <v>1.0197000000000001</v>
      </c>
      <c r="AR81" s="71">
        <v>339.49419999999998</v>
      </c>
      <c r="AW81" s="72"/>
      <c r="AX81" s="75">
        <v>60</v>
      </c>
      <c r="AY81" s="75"/>
      <c r="AZ81" s="75">
        <f t="shared" si="20"/>
        <v>104.9662308177747</v>
      </c>
      <c r="BA81" s="75"/>
      <c r="BB81" s="72"/>
      <c r="BC81" s="72"/>
      <c r="BD81" s="72"/>
      <c r="BE81" s="72"/>
      <c r="BG81" s="74">
        <v>7.14</v>
      </c>
      <c r="BH81" s="93">
        <v>390.26301063234479</v>
      </c>
      <c r="BI81" s="93">
        <v>376.90226978713395</v>
      </c>
      <c r="BJ81" s="93">
        <v>22.260442260442261</v>
      </c>
      <c r="BK81" s="88">
        <f>BH81-BI81</f>
        <v>13.360740845210842</v>
      </c>
      <c r="BL81" s="88"/>
      <c r="BM81" s="88"/>
      <c r="BN81" s="88"/>
      <c r="BO81" s="88"/>
      <c r="BP81" s="70">
        <v>28.883900000000001</v>
      </c>
      <c r="BS81" s="70">
        <v>6.8383000000000003</v>
      </c>
      <c r="BU81" s="70">
        <v>16.015699999999999</v>
      </c>
      <c r="BV81" s="70">
        <v>0.32719999999999999</v>
      </c>
      <c r="BW81" s="71">
        <v>338.73340000000002</v>
      </c>
      <c r="CC81" s="72"/>
      <c r="CD81" s="72"/>
      <c r="CE81" s="72"/>
      <c r="CF81" s="72"/>
      <c r="CG81" s="72"/>
      <c r="CH81" s="72"/>
      <c r="CI81" s="72"/>
      <c r="CJ81" s="72"/>
      <c r="CM81" s="69"/>
      <c r="CN81" s="69"/>
      <c r="CO81" s="69"/>
      <c r="CP81" s="69"/>
      <c r="CQ81" s="76"/>
      <c r="CR81" s="76"/>
      <c r="CS81" s="177"/>
      <c r="CT81" s="70"/>
      <c r="CU81" s="76"/>
      <c r="CV81" s="77"/>
      <c r="CW81" s="77"/>
      <c r="CX81" s="77"/>
      <c r="CY81" s="77"/>
      <c r="CZ81" s="77"/>
      <c r="DA81" s="66"/>
      <c r="DB81" s="66"/>
      <c r="DC81" s="66"/>
      <c r="DD81" s="66"/>
      <c r="DE81" s="66"/>
      <c r="DF81" s="66"/>
      <c r="DG81" s="66"/>
      <c r="DH81" s="66"/>
      <c r="DI81" s="168"/>
      <c r="DJ81" s="67"/>
      <c r="DK81" s="69"/>
      <c r="DL81" s="69"/>
      <c r="DM81" s="69"/>
      <c r="DN81" s="69"/>
      <c r="DO81" s="69"/>
      <c r="DP81" s="69"/>
      <c r="DQ81" s="69"/>
      <c r="DR81" s="69"/>
      <c r="DS81" s="70"/>
      <c r="DT81" s="70"/>
      <c r="DU81" s="70"/>
      <c r="DV81" s="177"/>
      <c r="DW81" s="177"/>
      <c r="DX81" s="70"/>
      <c r="DY81" s="70"/>
      <c r="DZ81" s="71"/>
      <c r="EA81" s="71"/>
      <c r="EB81" s="180"/>
      <c r="EC81" s="180"/>
      <c r="ED81" s="71"/>
      <c r="EE81" s="180"/>
      <c r="EF81" s="66"/>
      <c r="EG81" s="66"/>
      <c r="EH81" s="79"/>
      <c r="EI81" s="66"/>
      <c r="EJ81" s="79"/>
      <c r="EK81" s="66"/>
      <c r="EL81" s="168"/>
      <c r="EM81" s="67"/>
      <c r="EN81" s="78"/>
      <c r="EO81" s="78"/>
      <c r="EP81" s="78"/>
      <c r="EQ81" s="78"/>
      <c r="ER81" s="79" t="e">
        <f t="shared" si="18"/>
        <v>#DIV/0!</v>
      </c>
      <c r="ES81" s="66"/>
      <c r="ET81" s="66"/>
      <c r="EU81" s="66"/>
      <c r="EV81" s="79"/>
      <c r="EW81" s="66"/>
      <c r="EX81" s="66"/>
      <c r="EY81" s="66"/>
      <c r="EZ81" s="66"/>
      <c r="FA81" s="66"/>
      <c r="FB81" s="66"/>
    </row>
    <row r="82" spans="1:158" hidden="1" x14ac:dyDescent="0.3">
      <c r="A82" s="86">
        <v>44698</v>
      </c>
      <c r="B82" s="86"/>
      <c r="C82" s="96"/>
      <c r="D82" s="93"/>
      <c r="E82" s="93"/>
      <c r="F82" s="96"/>
      <c r="G82" s="96"/>
      <c r="H82" s="96"/>
      <c r="I82" s="96"/>
      <c r="J82" s="96"/>
      <c r="X82" s="72"/>
      <c r="Y82" s="73"/>
      <c r="Z82" s="73"/>
      <c r="AA82" s="72"/>
      <c r="AB82" s="72"/>
      <c r="AC82" s="72"/>
      <c r="AD82" s="72"/>
      <c r="AE82" s="72"/>
      <c r="AF82" s="72"/>
      <c r="AI82" s="96">
        <v>479.91046446558482</v>
      </c>
      <c r="AJ82" s="96">
        <v>401.27013995060565</v>
      </c>
      <c r="AK82" s="96">
        <v>21.495261495261495</v>
      </c>
      <c r="AL82" s="87">
        <f t="shared" si="7"/>
        <v>78.64032451497917</v>
      </c>
      <c r="AO82" s="70">
        <v>7.5899999999999995E-2</v>
      </c>
      <c r="AW82" s="72"/>
      <c r="AX82" s="75">
        <v>290</v>
      </c>
      <c r="AY82" s="75"/>
      <c r="AZ82" s="75">
        <f t="shared" si="20"/>
        <v>425.43866194564089</v>
      </c>
      <c r="BA82" s="75"/>
      <c r="BB82" s="72"/>
      <c r="BC82" s="72"/>
      <c r="BD82" s="72"/>
      <c r="BE82" s="72"/>
      <c r="BG82" s="74">
        <v>7.08</v>
      </c>
      <c r="BH82" s="93"/>
      <c r="BI82" s="93"/>
      <c r="BJ82" s="93"/>
      <c r="BK82" s="88"/>
      <c r="BL82" s="88"/>
      <c r="BM82" s="88"/>
      <c r="BN82" s="88"/>
      <c r="BO82" s="88"/>
      <c r="BS82" s="70">
        <v>7.7499999999999999E-2</v>
      </c>
      <c r="CC82" s="72"/>
      <c r="CD82" s="72"/>
      <c r="CE82" s="72"/>
      <c r="CF82" s="72"/>
      <c r="CG82" s="72"/>
      <c r="CH82" s="72"/>
      <c r="CI82" s="72"/>
      <c r="CJ82" s="72"/>
      <c r="CL82" s="74">
        <v>7.26</v>
      </c>
      <c r="CM82" s="69"/>
      <c r="CN82" s="69"/>
      <c r="CO82" s="69"/>
      <c r="CP82" s="69"/>
      <c r="CQ82" s="76"/>
      <c r="CR82" s="76"/>
      <c r="CS82" s="177"/>
      <c r="CT82" s="70"/>
      <c r="CU82" s="76"/>
      <c r="CV82" s="77"/>
      <c r="CW82" s="77"/>
      <c r="CX82" s="77"/>
      <c r="CY82" s="77"/>
      <c r="CZ82" s="77"/>
      <c r="DA82" s="66"/>
      <c r="DB82" s="66"/>
      <c r="DC82" s="66"/>
      <c r="DD82" s="66"/>
      <c r="DE82" s="66"/>
      <c r="DF82" s="66"/>
      <c r="DG82" s="66"/>
      <c r="DH82" s="66"/>
      <c r="DI82" s="168"/>
      <c r="DJ82" s="67"/>
      <c r="DK82" s="69"/>
      <c r="DL82" s="69"/>
      <c r="DM82" s="69"/>
      <c r="DN82" s="69"/>
      <c r="DO82" s="69"/>
      <c r="DP82" s="69"/>
      <c r="DQ82" s="69"/>
      <c r="DR82" s="69"/>
      <c r="DS82" s="70"/>
      <c r="DT82" s="70"/>
      <c r="DU82" s="70"/>
      <c r="DV82" s="177"/>
      <c r="DW82" s="177"/>
      <c r="DX82" s="70"/>
      <c r="DY82" s="70"/>
      <c r="DZ82" s="71"/>
      <c r="EA82" s="71"/>
      <c r="EB82" s="180"/>
      <c r="EC82" s="180"/>
      <c r="ED82" s="71"/>
      <c r="EE82" s="180"/>
      <c r="EF82" s="66"/>
      <c r="EG82" s="66"/>
      <c r="EH82" s="79"/>
      <c r="EI82" s="66"/>
      <c r="EJ82" s="79"/>
      <c r="EK82" s="66"/>
      <c r="EL82" s="168"/>
      <c r="EM82" s="67"/>
      <c r="EN82" s="78"/>
      <c r="EO82" s="78"/>
      <c r="EP82" s="78"/>
      <c r="EQ82" s="78"/>
      <c r="ER82" s="79" t="e">
        <f t="shared" si="18"/>
        <v>#DIV/0!</v>
      </c>
      <c r="ES82" s="66"/>
      <c r="ET82" s="66"/>
      <c r="EU82" s="66"/>
      <c r="EV82" s="79"/>
      <c r="EW82" s="66"/>
      <c r="EX82" s="66"/>
      <c r="EY82" s="66"/>
      <c r="EZ82" s="66"/>
      <c r="FA82" s="66"/>
      <c r="FB82" s="66"/>
    </row>
    <row r="83" spans="1:158" hidden="1" x14ac:dyDescent="0.3">
      <c r="A83" s="99">
        <v>44699</v>
      </c>
      <c r="B83" s="100">
        <v>0</v>
      </c>
      <c r="C83" s="96">
        <v>94.461729931549471</v>
      </c>
      <c r="D83" s="93">
        <v>56.800671294530474</v>
      </c>
      <c r="E83" s="93">
        <v>21.355634832446341</v>
      </c>
      <c r="F83" s="69">
        <f t="shared" ref="F83:F146" si="22">C83-D83</f>
        <v>37.661058637018996</v>
      </c>
      <c r="K83" s="70">
        <v>39.900399999999998</v>
      </c>
      <c r="N83" s="70">
        <v>1.4159999999999999</v>
      </c>
      <c r="P83" s="70">
        <v>6.7836999999999996</v>
      </c>
      <c r="Q83" s="70">
        <v>64.815200000000004</v>
      </c>
      <c r="R83" s="71">
        <v>38.0214</v>
      </c>
      <c r="X83" s="72"/>
      <c r="Y83" s="73">
        <v>140</v>
      </c>
      <c r="Z83" s="73"/>
      <c r="AA83" s="72">
        <f t="shared" ref="AA83:AA93" si="23">3.5492*F83 + 14.154</f>
        <v>147.82062931450781</v>
      </c>
      <c r="AB83" s="72">
        <v>73</v>
      </c>
      <c r="AC83" s="72"/>
      <c r="AD83" s="72"/>
      <c r="AE83" s="72"/>
      <c r="AF83" s="72"/>
      <c r="AH83" s="74">
        <v>7.68</v>
      </c>
      <c r="AI83" s="96">
        <v>305.84051915725843</v>
      </c>
      <c r="AJ83" s="96">
        <v>333.75543519719281</v>
      </c>
      <c r="AK83" s="96">
        <v>19.095853558687644</v>
      </c>
      <c r="AL83" s="87">
        <f t="shared" si="7"/>
        <v>-27.914916039934383</v>
      </c>
      <c r="AM83" s="70">
        <v>26.039000000000001</v>
      </c>
      <c r="AO83" s="70">
        <v>6.0731999999999999</v>
      </c>
      <c r="AQ83" s="70">
        <v>0.46529999999999999</v>
      </c>
      <c r="AR83" s="71">
        <v>336.63720000000001</v>
      </c>
      <c r="AW83" s="72"/>
      <c r="AX83" s="75">
        <v>30</v>
      </c>
      <c r="AY83" s="75"/>
      <c r="AZ83" s="75">
        <f t="shared" si="20"/>
        <v>87.253639472456257</v>
      </c>
      <c r="BA83" s="75"/>
      <c r="BB83" s="72">
        <v>41</v>
      </c>
      <c r="BC83" s="72"/>
      <c r="BD83" s="72"/>
      <c r="BE83" s="72"/>
      <c r="BG83" s="74">
        <v>6.96</v>
      </c>
      <c r="BH83" s="93">
        <v>338.1633923015379</v>
      </c>
      <c r="BI83" s="93">
        <v>334.85391715615219</v>
      </c>
      <c r="BJ83" s="93">
        <v>18.632668577109769</v>
      </c>
      <c r="BK83" s="88">
        <f t="shared" ref="BK83:BK146" si="24">BH83-BI83</f>
        <v>3.3094751453857043</v>
      </c>
      <c r="BL83" s="88"/>
      <c r="BM83" s="88"/>
      <c r="BN83" s="88"/>
      <c r="BO83" s="88"/>
      <c r="BP83" s="70">
        <v>25.927600000000002</v>
      </c>
      <c r="BS83" s="70">
        <v>6.5296000000000003</v>
      </c>
      <c r="BU83" s="70">
        <v>0.32479999999999998</v>
      </c>
      <c r="BV83" s="70">
        <v>0.19500000000000001</v>
      </c>
      <c r="BW83" s="71">
        <v>334.98469999999998</v>
      </c>
      <c r="CC83" s="72"/>
      <c r="CD83" s="72">
        <v>190</v>
      </c>
      <c r="CE83" s="72"/>
      <c r="CF83" s="72"/>
      <c r="CG83" s="72">
        <v>40</v>
      </c>
      <c r="CH83" s="72"/>
      <c r="CI83" s="72"/>
      <c r="CJ83" s="72"/>
      <c r="CL83" s="74">
        <v>6.92</v>
      </c>
      <c r="CM83" s="69"/>
      <c r="CN83" s="69"/>
      <c r="CO83" s="69"/>
      <c r="CP83" s="69"/>
      <c r="CQ83" s="76"/>
      <c r="CR83" s="76"/>
      <c r="CS83" s="177"/>
      <c r="CT83" s="70"/>
      <c r="CU83" s="76"/>
      <c r="CV83" s="77"/>
      <c r="CW83" s="77"/>
      <c r="CX83" s="77"/>
      <c r="CY83" s="77"/>
      <c r="CZ83" s="77"/>
      <c r="DA83" s="66"/>
      <c r="DB83" s="66"/>
      <c r="DC83" s="66"/>
      <c r="DD83" s="66"/>
      <c r="DE83" s="66"/>
      <c r="DF83" s="66"/>
      <c r="DG83" s="66"/>
      <c r="DH83" s="66"/>
      <c r="DI83" s="168"/>
      <c r="DJ83" s="67"/>
      <c r="DK83" s="69"/>
      <c r="DL83" s="69"/>
      <c r="DM83" s="69"/>
      <c r="DN83" s="69"/>
      <c r="DO83" s="69"/>
      <c r="DP83" s="69"/>
      <c r="DQ83" s="69"/>
      <c r="DR83" s="69"/>
      <c r="DS83" s="70"/>
      <c r="DT83" s="70"/>
      <c r="DU83" s="70"/>
      <c r="DV83" s="177"/>
      <c r="DW83" s="177"/>
      <c r="DX83" s="70"/>
      <c r="DY83" s="70"/>
      <c r="DZ83" s="71"/>
      <c r="EA83" s="71"/>
      <c r="EB83" s="180"/>
      <c r="EC83" s="180"/>
      <c r="ED83" s="71"/>
      <c r="EE83" s="180"/>
      <c r="EF83" s="66"/>
      <c r="EG83" s="66"/>
      <c r="EH83" s="79"/>
      <c r="EI83" s="66"/>
      <c r="EJ83" s="79"/>
      <c r="EK83" s="66"/>
      <c r="EL83" s="168"/>
      <c r="EM83" s="67"/>
      <c r="EN83" s="78"/>
      <c r="EO83" s="78"/>
      <c r="EP83" s="78"/>
      <c r="EQ83" s="78"/>
      <c r="ER83" s="79">
        <f t="shared" si="18"/>
        <v>-35.714285714285715</v>
      </c>
      <c r="ES83" s="66"/>
      <c r="ET83" s="66"/>
      <c r="EU83" s="66"/>
      <c r="EV83" s="79"/>
      <c r="EW83" s="66"/>
      <c r="EX83" s="66"/>
      <c r="EY83" s="66"/>
      <c r="EZ83" s="66"/>
      <c r="FA83" s="66"/>
      <c r="FB83" s="66"/>
    </row>
    <row r="84" spans="1:158" hidden="1" x14ac:dyDescent="0.3">
      <c r="A84" s="99">
        <v>44700</v>
      </c>
      <c r="B84" s="100">
        <f>A84-A83+B83</f>
        <v>1</v>
      </c>
      <c r="C84" s="96">
        <v>114.09014134589741</v>
      </c>
      <c r="D84" s="93">
        <v>28.912960561446333</v>
      </c>
      <c r="E84" s="93">
        <v>14.569273056903913</v>
      </c>
      <c r="F84" s="69">
        <f t="shared" si="22"/>
        <v>85.177180784451082</v>
      </c>
      <c r="K84" s="70">
        <v>40.426600000000001</v>
      </c>
      <c r="N84" s="70">
        <v>1.5900000000000001E-2</v>
      </c>
      <c r="P84" s="70">
        <v>1.2476</v>
      </c>
      <c r="Q84" s="70">
        <v>31.779699999999998</v>
      </c>
      <c r="R84" s="71">
        <v>31.370100000000001</v>
      </c>
      <c r="X84" s="72"/>
      <c r="Y84" s="73">
        <v>300</v>
      </c>
      <c r="Z84" s="73"/>
      <c r="AA84" s="72">
        <f t="shared" si="23"/>
        <v>316.46485004017376</v>
      </c>
      <c r="AB84" s="72">
        <v>48</v>
      </c>
      <c r="AC84" s="72"/>
      <c r="AD84" s="72"/>
      <c r="AE84" s="72"/>
      <c r="AF84" s="72"/>
      <c r="AH84" s="74">
        <v>6.36</v>
      </c>
      <c r="AI84" s="96">
        <v>313.09449728864786</v>
      </c>
      <c r="AJ84" s="96">
        <v>332.19925242200014</v>
      </c>
      <c r="AK84" s="96">
        <v>20.702965085677523</v>
      </c>
      <c r="AL84" s="87">
        <f t="shared" si="7"/>
        <v>-19.104755133352285</v>
      </c>
      <c r="AM84" s="70">
        <v>31.464600000000001</v>
      </c>
      <c r="AW84" s="72"/>
      <c r="AX84" s="75">
        <v>70</v>
      </c>
      <c r="AY84" s="75"/>
      <c r="AZ84" s="75">
        <f t="shared" si="20"/>
        <v>115.21532815776652</v>
      </c>
      <c r="BA84" s="75"/>
      <c r="BB84" s="72">
        <v>52</v>
      </c>
      <c r="BC84" s="72"/>
      <c r="BD84" s="72"/>
      <c r="BE84" s="72"/>
      <c r="BG84" s="74">
        <v>7.07</v>
      </c>
      <c r="BH84" s="93">
        <v>355.23157614010131</v>
      </c>
      <c r="BI84" s="93">
        <v>336.95934091082461</v>
      </c>
      <c r="BJ84" s="93">
        <v>20.562606000350897</v>
      </c>
      <c r="BK84" s="88">
        <f t="shared" si="24"/>
        <v>18.272235229276703</v>
      </c>
      <c r="BL84" s="88"/>
      <c r="BM84" s="88"/>
      <c r="BN84" s="88"/>
      <c r="BO84" s="88"/>
      <c r="BP84" s="70">
        <v>26.233000000000001</v>
      </c>
      <c r="CC84" s="72"/>
      <c r="CD84" s="101"/>
      <c r="CE84" s="101"/>
      <c r="CF84" s="101"/>
      <c r="CG84" s="72"/>
      <c r="CH84" s="72"/>
      <c r="CI84" s="72"/>
      <c r="CJ84" s="72"/>
      <c r="CL84" s="74">
        <v>7.06</v>
      </c>
      <c r="CM84" s="69"/>
      <c r="CN84" s="69"/>
      <c r="CO84" s="69"/>
      <c r="CP84" s="69"/>
      <c r="CQ84" s="76"/>
      <c r="CR84" s="76"/>
      <c r="CS84" s="177"/>
      <c r="CT84" s="70"/>
      <c r="CU84" s="76"/>
      <c r="CV84" s="77"/>
      <c r="CW84" s="77"/>
      <c r="CX84" s="77"/>
      <c r="CY84" s="77"/>
      <c r="CZ84" s="77"/>
      <c r="DA84" s="66"/>
      <c r="DB84" s="66"/>
      <c r="DC84" s="66"/>
      <c r="DD84" s="66"/>
      <c r="DE84" s="66"/>
      <c r="DF84" s="66"/>
      <c r="DG84" s="66"/>
      <c r="DH84" s="66"/>
      <c r="DI84" s="168"/>
      <c r="DJ84" s="67"/>
      <c r="DK84" s="69"/>
      <c r="DL84" s="69"/>
      <c r="DM84" s="69"/>
      <c r="DN84" s="69"/>
      <c r="DO84" s="69"/>
      <c r="DP84" s="69"/>
      <c r="DQ84" s="69"/>
      <c r="DR84" s="69"/>
      <c r="DS84" s="70"/>
      <c r="DT84" s="70"/>
      <c r="DU84" s="70"/>
      <c r="DV84" s="177"/>
      <c r="DW84" s="177"/>
      <c r="DX84" s="70"/>
      <c r="DY84" s="70"/>
      <c r="DZ84" s="71"/>
      <c r="EA84" s="71"/>
      <c r="EB84" s="180"/>
      <c r="EC84" s="180"/>
      <c r="ED84" s="71"/>
      <c r="EE84" s="180"/>
      <c r="EF84" s="66"/>
      <c r="EG84" s="66"/>
      <c r="EH84" s="79"/>
      <c r="EI84" s="66"/>
      <c r="EJ84" s="79"/>
      <c r="EK84" s="66"/>
      <c r="EL84" s="168"/>
      <c r="EM84" s="67"/>
      <c r="EN84" s="78"/>
      <c r="EO84" s="78"/>
      <c r="EP84" s="78"/>
      <c r="EQ84" s="78"/>
      <c r="ER84" s="79">
        <f t="shared" si="18"/>
        <v>100</v>
      </c>
      <c r="ES84" s="66"/>
      <c r="ET84" s="66"/>
      <c r="EU84" s="66"/>
      <c r="EV84" s="79"/>
      <c r="EW84" s="66"/>
      <c r="EX84" s="66"/>
      <c r="EY84" s="66"/>
      <c r="EZ84" s="66"/>
      <c r="FA84" s="66"/>
      <c r="FB84" s="66"/>
    </row>
    <row r="85" spans="1:158" hidden="1" x14ac:dyDescent="0.3">
      <c r="A85" s="99">
        <v>44700</v>
      </c>
      <c r="B85" s="100">
        <f t="shared" ref="B85:B93" si="25">A85-A84+B84</f>
        <v>1</v>
      </c>
      <c r="C85" s="96"/>
      <c r="D85" s="93"/>
      <c r="E85" s="93"/>
      <c r="N85" s="70">
        <v>1.5900000000000001E-2</v>
      </c>
      <c r="X85" s="72"/>
      <c r="Y85" s="73"/>
      <c r="Z85" s="73"/>
      <c r="AA85" s="72"/>
      <c r="AB85" s="72"/>
      <c r="AC85" s="72"/>
      <c r="AD85" s="72"/>
      <c r="AE85" s="72"/>
      <c r="AF85" s="72"/>
      <c r="AI85" s="96">
        <v>449.7466441461462</v>
      </c>
      <c r="AJ85" s="96">
        <v>179.23563963689065</v>
      </c>
      <c r="AK85" s="96">
        <v>17.832621790747996</v>
      </c>
      <c r="AL85" s="96">
        <f t="shared" si="7"/>
        <v>270.51100450925554</v>
      </c>
      <c r="AW85" s="72"/>
      <c r="AX85" s="75">
        <v>1150</v>
      </c>
      <c r="AY85" s="75"/>
      <c r="AZ85" s="75">
        <f t="shared" si="20"/>
        <v>1034.3978261114753</v>
      </c>
      <c r="BA85" s="75"/>
      <c r="BB85" s="72">
        <v>49</v>
      </c>
      <c r="BC85" s="72"/>
      <c r="BD85" s="72"/>
      <c r="BE85" s="72"/>
      <c r="BG85" s="74">
        <v>6.31</v>
      </c>
      <c r="BH85" s="93"/>
      <c r="BI85" s="93"/>
      <c r="BJ85" s="93"/>
      <c r="BK85" s="88">
        <f t="shared" si="24"/>
        <v>0</v>
      </c>
      <c r="BL85" s="88"/>
      <c r="BM85" s="88"/>
      <c r="BN85" s="88"/>
      <c r="BO85" s="88"/>
      <c r="CC85" s="72"/>
      <c r="CD85" s="72"/>
      <c r="CE85" s="72"/>
      <c r="CF85" s="72"/>
      <c r="CG85" s="72"/>
      <c r="CH85" s="72"/>
      <c r="CI85" s="72"/>
      <c r="CJ85" s="72"/>
      <c r="CM85" s="69"/>
      <c r="CN85" s="69"/>
      <c r="CO85" s="69"/>
      <c r="CP85" s="69"/>
      <c r="CQ85" s="76"/>
      <c r="CR85" s="76"/>
      <c r="CS85" s="177"/>
      <c r="CT85" s="70"/>
      <c r="CU85" s="76"/>
      <c r="CV85" s="77"/>
      <c r="CW85" s="77"/>
      <c r="CX85" s="77"/>
      <c r="CY85" s="77"/>
      <c r="CZ85" s="77"/>
      <c r="DA85" s="66"/>
      <c r="DB85" s="66"/>
      <c r="DC85" s="66"/>
      <c r="DD85" s="66"/>
      <c r="DE85" s="66"/>
      <c r="DF85" s="66"/>
      <c r="DG85" s="66"/>
      <c r="DH85" s="66"/>
      <c r="DI85" s="168"/>
      <c r="DJ85" s="67"/>
      <c r="DK85" s="69"/>
      <c r="DL85" s="69"/>
      <c r="DM85" s="69"/>
      <c r="DN85" s="69"/>
      <c r="DO85" s="69"/>
      <c r="DP85" s="69"/>
      <c r="DQ85" s="69"/>
      <c r="DR85" s="69"/>
      <c r="DS85" s="70"/>
      <c r="DT85" s="70"/>
      <c r="DU85" s="70"/>
      <c r="DV85" s="177"/>
      <c r="DW85" s="177"/>
      <c r="DX85" s="70"/>
      <c r="DY85" s="70"/>
      <c r="DZ85" s="71"/>
      <c r="EA85" s="71"/>
      <c r="EB85" s="180"/>
      <c r="EC85" s="180"/>
      <c r="ED85" s="71"/>
      <c r="EE85" s="180"/>
      <c r="EF85" s="66"/>
      <c r="EG85" s="66"/>
      <c r="EH85" s="79"/>
      <c r="EI85" s="66"/>
      <c r="EJ85" s="79"/>
      <c r="EK85" s="66"/>
      <c r="EL85" s="168"/>
      <c r="EM85" s="67"/>
      <c r="EN85" s="78"/>
      <c r="EO85" s="78"/>
      <c r="EP85" s="78"/>
      <c r="EQ85" s="78"/>
      <c r="ER85" s="79" t="e">
        <f t="shared" si="18"/>
        <v>#DIV/0!</v>
      </c>
      <c r="ES85" s="66"/>
      <c r="ET85" s="66"/>
      <c r="EU85" s="66"/>
      <c r="EV85" s="79"/>
      <c r="EW85" s="66"/>
      <c r="EX85" s="66"/>
      <c r="EY85" s="66"/>
      <c r="EZ85" s="66"/>
      <c r="FA85" s="66"/>
      <c r="FB85" s="66"/>
    </row>
    <row r="86" spans="1:158" hidden="1" x14ac:dyDescent="0.3">
      <c r="A86" s="99">
        <v>44701</v>
      </c>
      <c r="B86" s="100">
        <f t="shared" si="25"/>
        <v>2</v>
      </c>
      <c r="C86" s="96">
        <v>241.30144901769046</v>
      </c>
      <c r="D86" s="93">
        <v>48.562056602334273</v>
      </c>
      <c r="E86" s="93">
        <v>19.313410140943912</v>
      </c>
      <c r="F86" s="69">
        <f t="shared" si="22"/>
        <v>192.73939241535618</v>
      </c>
      <c r="K86" s="70">
        <v>58.205100000000002</v>
      </c>
      <c r="N86" s="70">
        <v>3.7370999999999999</v>
      </c>
      <c r="P86" s="70">
        <v>1.6454</v>
      </c>
      <c r="Q86" s="70">
        <v>97.776600000000002</v>
      </c>
      <c r="R86" s="71">
        <v>47.497700000000002</v>
      </c>
      <c r="X86" s="72"/>
      <c r="Y86" s="73">
        <f>138*5</f>
        <v>690</v>
      </c>
      <c r="Z86" s="73"/>
      <c r="AA86" s="72">
        <f t="shared" si="23"/>
        <v>698.22465156058217</v>
      </c>
      <c r="AB86" s="72">
        <v>70</v>
      </c>
      <c r="AC86" s="72"/>
      <c r="AD86" s="72"/>
      <c r="AE86" s="72"/>
      <c r="AF86" s="72"/>
      <c r="AH86" s="74">
        <v>7.46</v>
      </c>
      <c r="AI86" s="96"/>
      <c r="AJ86" s="96"/>
      <c r="AK86" s="96"/>
      <c r="AL86" s="87"/>
      <c r="AW86" s="102"/>
      <c r="AX86" s="103"/>
      <c r="AY86" s="103"/>
      <c r="AZ86" s="103"/>
      <c r="BA86" s="103"/>
      <c r="BB86" s="102"/>
      <c r="BC86" s="102"/>
      <c r="BD86" s="102"/>
      <c r="BE86" s="102"/>
      <c r="BH86" s="93"/>
      <c r="BI86" s="93"/>
      <c r="BJ86" s="93"/>
      <c r="BK86" s="88"/>
      <c r="BL86" s="88"/>
      <c r="BM86" s="88"/>
      <c r="BN86" s="88"/>
      <c r="BO86" s="88"/>
      <c r="CC86" s="72"/>
      <c r="CD86" s="72"/>
      <c r="CE86" s="72"/>
      <c r="CF86" s="72"/>
      <c r="CG86" s="72"/>
      <c r="CH86" s="72"/>
      <c r="CI86" s="72"/>
      <c r="CJ86" s="72"/>
      <c r="CM86" s="69"/>
      <c r="CN86" s="69"/>
      <c r="CO86" s="69"/>
      <c r="CP86" s="69"/>
      <c r="CQ86" s="76"/>
      <c r="CR86" s="76"/>
      <c r="CS86" s="177"/>
      <c r="CT86" s="70"/>
      <c r="CU86" s="76"/>
      <c r="CV86" s="77"/>
      <c r="CW86" s="77"/>
      <c r="CX86" s="77"/>
      <c r="CY86" s="77"/>
      <c r="CZ86" s="77"/>
      <c r="DA86" s="66"/>
      <c r="DB86" s="66"/>
      <c r="DC86" s="66"/>
      <c r="DD86" s="66"/>
      <c r="DE86" s="66"/>
      <c r="DF86" s="66"/>
      <c r="DG86" s="66"/>
      <c r="DH86" s="66"/>
      <c r="DI86" s="168"/>
      <c r="DJ86" s="67"/>
      <c r="DK86" s="69"/>
      <c r="DL86" s="69"/>
      <c r="DM86" s="69"/>
      <c r="DN86" s="69"/>
      <c r="DO86" s="69"/>
      <c r="DP86" s="69"/>
      <c r="DQ86" s="69"/>
      <c r="DR86" s="69"/>
      <c r="DS86" s="70"/>
      <c r="DT86" s="70"/>
      <c r="DU86" s="70"/>
      <c r="DV86" s="177"/>
      <c r="DW86" s="177"/>
      <c r="DX86" s="70"/>
      <c r="DY86" s="70"/>
      <c r="DZ86" s="71"/>
      <c r="EA86" s="71"/>
      <c r="EB86" s="180"/>
      <c r="EC86" s="180"/>
      <c r="ED86" s="71"/>
      <c r="EE86" s="180"/>
      <c r="EF86" s="66"/>
      <c r="EG86" s="66"/>
      <c r="EH86" s="79"/>
      <c r="EI86" s="66"/>
      <c r="EJ86" s="79"/>
      <c r="EK86" s="66"/>
      <c r="EL86" s="168"/>
      <c r="EM86" s="67"/>
      <c r="EN86" s="78"/>
      <c r="EO86" s="78"/>
      <c r="EP86" s="78"/>
      <c r="EQ86" s="78"/>
      <c r="ER86" s="79">
        <f t="shared" si="18"/>
        <v>100</v>
      </c>
      <c r="ES86" s="66"/>
      <c r="ET86" s="66"/>
      <c r="EU86" s="66"/>
      <c r="EV86" s="79"/>
      <c r="EW86" s="66"/>
      <c r="EX86" s="66"/>
      <c r="EY86" s="66"/>
      <c r="EZ86" s="66"/>
      <c r="FA86" s="66"/>
      <c r="FB86" s="66"/>
    </row>
    <row r="87" spans="1:158" hidden="1" x14ac:dyDescent="0.3">
      <c r="A87" s="99">
        <v>44704</v>
      </c>
      <c r="B87" s="100">
        <f t="shared" si="25"/>
        <v>5</v>
      </c>
      <c r="C87" s="96">
        <v>129.37190990661051</v>
      </c>
      <c r="D87" s="93">
        <v>52.371038630580614</v>
      </c>
      <c r="E87" s="93">
        <v>14.270178419711128</v>
      </c>
      <c r="F87" s="69">
        <f t="shared" si="22"/>
        <v>77.000871276029898</v>
      </c>
      <c r="N87" s="70">
        <v>0.12770000000000001</v>
      </c>
      <c r="X87" s="72"/>
      <c r="Y87" s="73">
        <f>48*5</f>
        <v>240</v>
      </c>
      <c r="Z87" s="73"/>
      <c r="AA87" s="72">
        <f t="shared" si="23"/>
        <v>287.44549233288529</v>
      </c>
      <c r="AB87" s="72"/>
      <c r="AC87" s="72"/>
      <c r="AD87" s="72"/>
      <c r="AE87" s="72"/>
      <c r="AF87" s="72"/>
      <c r="AH87" s="74">
        <v>7.46</v>
      </c>
      <c r="AI87" s="96"/>
      <c r="AJ87" s="96"/>
      <c r="AK87" s="96"/>
      <c r="AL87" s="87"/>
      <c r="AW87" s="102"/>
      <c r="AX87" s="103"/>
      <c r="AY87" s="103"/>
      <c r="AZ87" s="103"/>
      <c r="BA87" s="103"/>
      <c r="BB87" s="102"/>
      <c r="BC87" s="102"/>
      <c r="BD87" s="102"/>
      <c r="BE87" s="102"/>
      <c r="BH87" s="93"/>
      <c r="BI87" s="93"/>
      <c r="BJ87" s="93"/>
      <c r="BK87" s="88"/>
      <c r="BL87" s="88"/>
      <c r="BM87" s="88"/>
      <c r="BN87" s="88"/>
      <c r="BO87" s="88"/>
      <c r="CC87" s="72"/>
      <c r="CD87" s="72"/>
      <c r="CE87" s="72"/>
      <c r="CF87" s="72"/>
      <c r="CG87" s="72"/>
      <c r="CH87" s="72"/>
      <c r="CI87" s="72"/>
      <c r="CJ87" s="72"/>
      <c r="CM87" s="69"/>
      <c r="CN87" s="69"/>
      <c r="CO87" s="69"/>
      <c r="CP87" s="69"/>
      <c r="CQ87" s="76"/>
      <c r="CR87" s="76"/>
      <c r="CS87" s="177"/>
      <c r="CT87" s="70"/>
      <c r="CU87" s="76"/>
      <c r="CV87" s="77"/>
      <c r="CW87" s="77"/>
      <c r="CX87" s="77"/>
      <c r="CY87" s="77"/>
      <c r="CZ87" s="77"/>
      <c r="DA87" s="66"/>
      <c r="DB87" s="66"/>
      <c r="DC87" s="66"/>
      <c r="DD87" s="66"/>
      <c r="DE87" s="66"/>
      <c r="DF87" s="66"/>
      <c r="DG87" s="66"/>
      <c r="DH87" s="66"/>
      <c r="DI87" s="168"/>
      <c r="DJ87" s="67"/>
      <c r="DK87" s="69"/>
      <c r="DL87" s="69"/>
      <c r="DM87" s="69"/>
      <c r="DN87" s="69"/>
      <c r="DO87" s="69"/>
      <c r="DP87" s="69"/>
      <c r="DQ87" s="69"/>
      <c r="DR87" s="69"/>
      <c r="DS87" s="70"/>
      <c r="DT87" s="70"/>
      <c r="DU87" s="70"/>
      <c r="DV87" s="177"/>
      <c r="DW87" s="177"/>
      <c r="DX87" s="70"/>
      <c r="DY87" s="70"/>
      <c r="DZ87" s="71"/>
      <c r="EA87" s="71"/>
      <c r="EB87" s="180"/>
      <c r="EC87" s="180"/>
      <c r="ED87" s="71"/>
      <c r="EE87" s="180"/>
      <c r="EF87" s="66"/>
      <c r="EG87" s="66"/>
      <c r="EH87" s="79"/>
      <c r="EI87" s="66"/>
      <c r="EJ87" s="79"/>
      <c r="EK87" s="66"/>
      <c r="EL87" s="168"/>
      <c r="EM87" s="67"/>
      <c r="EN87" s="78"/>
      <c r="EO87" s="78"/>
      <c r="EP87" s="78"/>
      <c r="EQ87" s="78"/>
      <c r="ER87" s="79"/>
      <c r="ES87" s="66"/>
      <c r="ET87" s="66"/>
      <c r="EU87" s="66"/>
      <c r="EV87" s="79"/>
      <c r="EW87" s="66"/>
      <c r="EX87" s="66"/>
      <c r="EY87" s="66"/>
      <c r="EZ87" s="66"/>
      <c r="FA87" s="66"/>
      <c r="FB87" s="66"/>
    </row>
    <row r="88" spans="1:158" hidden="1" x14ac:dyDescent="0.3">
      <c r="A88" s="99">
        <v>44705</v>
      </c>
      <c r="B88" s="100">
        <f t="shared" si="25"/>
        <v>6</v>
      </c>
      <c r="C88" s="96">
        <v>136.23878410547519</v>
      </c>
      <c r="D88" s="93">
        <v>55.054360397871854</v>
      </c>
      <c r="E88" s="93">
        <v>17.886151231945622</v>
      </c>
      <c r="F88" s="69">
        <f t="shared" si="22"/>
        <v>81.184423707603344</v>
      </c>
      <c r="N88" s="70">
        <v>1.67E-2</v>
      </c>
      <c r="X88" s="72"/>
      <c r="Y88" s="73">
        <f>74*5</f>
        <v>370</v>
      </c>
      <c r="Z88" s="73"/>
      <c r="AA88" s="72">
        <f t="shared" si="23"/>
        <v>302.29375662302579</v>
      </c>
      <c r="AB88" s="72"/>
      <c r="AC88" s="72"/>
      <c r="AD88" s="72"/>
      <c r="AE88" s="72"/>
      <c r="AF88" s="72"/>
      <c r="AH88" s="74">
        <v>7.48</v>
      </c>
      <c r="AI88" s="96"/>
      <c r="AJ88" s="96"/>
      <c r="AK88" s="96"/>
      <c r="AL88" s="87"/>
      <c r="AW88" s="102"/>
      <c r="AX88" s="103"/>
      <c r="AY88" s="103"/>
      <c r="AZ88" s="103"/>
      <c r="BA88" s="103"/>
      <c r="BB88" s="102"/>
      <c r="BC88" s="102"/>
      <c r="BD88" s="102"/>
      <c r="BE88" s="102"/>
      <c r="BH88" s="93"/>
      <c r="BI88" s="93"/>
      <c r="BJ88" s="93"/>
      <c r="BK88" s="88"/>
      <c r="BL88" s="88"/>
      <c r="BM88" s="88"/>
      <c r="BN88" s="88"/>
      <c r="BO88" s="88"/>
      <c r="CC88" s="72"/>
      <c r="CD88" s="72"/>
      <c r="CE88" s="72"/>
      <c r="CF88" s="72"/>
      <c r="CG88" s="72"/>
      <c r="CH88" s="72"/>
      <c r="CI88" s="72"/>
      <c r="CJ88" s="72"/>
      <c r="CM88" s="69"/>
      <c r="CN88" s="69"/>
      <c r="CO88" s="69"/>
      <c r="CP88" s="69"/>
      <c r="CQ88" s="76"/>
      <c r="CR88" s="76"/>
      <c r="CS88" s="177"/>
      <c r="CT88" s="70"/>
      <c r="CU88" s="76"/>
      <c r="CV88" s="77"/>
      <c r="CW88" s="77"/>
      <c r="CX88" s="77"/>
      <c r="CY88" s="77"/>
      <c r="CZ88" s="77"/>
      <c r="DA88" s="66"/>
      <c r="DB88" s="66"/>
      <c r="DC88" s="66"/>
      <c r="DD88" s="66"/>
      <c r="DE88" s="66"/>
      <c r="DF88" s="66"/>
      <c r="DG88" s="66"/>
      <c r="DH88" s="66"/>
      <c r="DI88" s="168"/>
      <c r="DJ88" s="67"/>
      <c r="DK88" s="69"/>
      <c r="DL88" s="69"/>
      <c r="DM88" s="69"/>
      <c r="DN88" s="69"/>
      <c r="DO88" s="69"/>
      <c r="DP88" s="69"/>
      <c r="DQ88" s="69"/>
      <c r="DR88" s="69"/>
      <c r="DS88" s="70"/>
      <c r="DT88" s="70"/>
      <c r="DU88" s="70"/>
      <c r="DV88" s="177"/>
      <c r="DW88" s="177"/>
      <c r="DX88" s="70"/>
      <c r="DY88" s="70"/>
      <c r="DZ88" s="71"/>
      <c r="EA88" s="71"/>
      <c r="EB88" s="180"/>
      <c r="EC88" s="180"/>
      <c r="ED88" s="71"/>
      <c r="EE88" s="180"/>
      <c r="EF88" s="66"/>
      <c r="EG88" s="66"/>
      <c r="EH88" s="79"/>
      <c r="EI88" s="66"/>
      <c r="EJ88" s="79"/>
      <c r="EK88" s="66"/>
      <c r="EL88" s="168"/>
      <c r="EM88" s="67"/>
      <c r="EN88" s="78"/>
      <c r="EO88" s="78"/>
      <c r="EP88" s="78"/>
      <c r="EQ88" s="78"/>
      <c r="ER88" s="79"/>
      <c r="ES88" s="66"/>
      <c r="ET88" s="66"/>
      <c r="EU88" s="66"/>
      <c r="EV88" s="79"/>
      <c r="EW88" s="66"/>
      <c r="EX88" s="66"/>
      <c r="EY88" s="66"/>
      <c r="EZ88" s="66"/>
      <c r="FA88" s="66"/>
      <c r="FB88" s="66"/>
    </row>
    <row r="89" spans="1:158" hidden="1" x14ac:dyDescent="0.3">
      <c r="A89" s="99">
        <v>44706</v>
      </c>
      <c r="B89" s="100">
        <f t="shared" si="25"/>
        <v>7</v>
      </c>
      <c r="C89" s="96">
        <v>173.5396447537081</v>
      </c>
      <c r="D89" s="93">
        <v>56.07217210270646</v>
      </c>
      <c r="E89" s="93">
        <v>20.662701784197107</v>
      </c>
      <c r="F89" s="69">
        <f t="shared" si="22"/>
        <v>117.46747265100164</v>
      </c>
      <c r="N89" s="70">
        <v>1.2500000000000001E-2</v>
      </c>
      <c r="P89" s="70">
        <v>25.0246</v>
      </c>
      <c r="X89" s="72"/>
      <c r="Y89" s="73">
        <f>(89+87+90)/3*5</f>
        <v>443.33333333333337</v>
      </c>
      <c r="Z89" s="73"/>
      <c r="AA89" s="72">
        <f t="shared" si="23"/>
        <v>431.06955393293504</v>
      </c>
      <c r="AB89" s="72"/>
      <c r="AC89" s="72"/>
      <c r="AD89" s="72"/>
      <c r="AE89" s="72"/>
      <c r="AF89" s="72"/>
      <c r="AH89" s="74">
        <v>7.81</v>
      </c>
      <c r="AI89" s="96"/>
      <c r="AJ89" s="96"/>
      <c r="AK89" s="96"/>
      <c r="AL89" s="87"/>
      <c r="AW89" s="102"/>
      <c r="AX89" s="103"/>
      <c r="AY89" s="103"/>
      <c r="AZ89" s="103"/>
      <c r="BA89" s="103"/>
      <c r="BB89" s="102"/>
      <c r="BC89" s="102"/>
      <c r="BD89" s="102"/>
      <c r="BE89" s="102"/>
      <c r="BH89" s="93"/>
      <c r="BI89" s="93"/>
      <c r="BJ89" s="93"/>
      <c r="BK89" s="88"/>
      <c r="BL89" s="88"/>
      <c r="BM89" s="88"/>
      <c r="BN89" s="88"/>
      <c r="BO89" s="88"/>
      <c r="CC89" s="72"/>
      <c r="CD89" s="72"/>
      <c r="CE89" s="72"/>
      <c r="CF89" s="72"/>
      <c r="CG89" s="72"/>
      <c r="CH89" s="72"/>
      <c r="CI89" s="72"/>
      <c r="CJ89" s="72"/>
      <c r="CM89" s="69"/>
      <c r="CN89" s="69"/>
      <c r="CO89" s="69"/>
      <c r="CP89" s="69"/>
      <c r="CQ89" s="76"/>
      <c r="CR89" s="76"/>
      <c r="CS89" s="177"/>
      <c r="CT89" s="70"/>
      <c r="CU89" s="76"/>
      <c r="CV89" s="77"/>
      <c r="CW89" s="77"/>
      <c r="CX89" s="77"/>
      <c r="CY89" s="77"/>
      <c r="CZ89" s="77"/>
      <c r="DA89" s="66"/>
      <c r="DB89" s="66"/>
      <c r="DC89" s="66"/>
      <c r="DD89" s="66"/>
      <c r="DE89" s="66"/>
      <c r="DF89" s="66"/>
      <c r="DG89" s="66"/>
      <c r="DH89" s="66"/>
      <c r="DI89" s="168"/>
      <c r="DJ89" s="67"/>
      <c r="DK89" s="69"/>
      <c r="DL89" s="69"/>
      <c r="DM89" s="69"/>
      <c r="DN89" s="69"/>
      <c r="DO89" s="69"/>
      <c r="DP89" s="69"/>
      <c r="DQ89" s="69"/>
      <c r="DR89" s="69"/>
      <c r="DS89" s="70"/>
      <c r="DT89" s="70"/>
      <c r="DU89" s="70"/>
      <c r="DV89" s="177"/>
      <c r="DW89" s="177"/>
      <c r="DX89" s="70"/>
      <c r="DY89" s="70"/>
      <c r="DZ89" s="71"/>
      <c r="EA89" s="71"/>
      <c r="EB89" s="180"/>
      <c r="EC89" s="180"/>
      <c r="ED89" s="71"/>
      <c r="EE89" s="180"/>
      <c r="EF89" s="66"/>
      <c r="EG89" s="66"/>
      <c r="EH89" s="79"/>
      <c r="EI89" s="66"/>
      <c r="EJ89" s="79"/>
      <c r="EK89" s="66"/>
      <c r="EL89" s="168"/>
      <c r="EM89" s="67"/>
      <c r="EN89" s="78"/>
      <c r="EO89" s="78"/>
      <c r="EP89" s="78"/>
      <c r="EQ89" s="78"/>
      <c r="ER89" s="79"/>
      <c r="ES89" s="66"/>
      <c r="ET89" s="66"/>
      <c r="EU89" s="66"/>
      <c r="EV89" s="79"/>
      <c r="EW89" s="66"/>
      <c r="EX89" s="66"/>
      <c r="EY89" s="66"/>
      <c r="EZ89" s="66"/>
      <c r="FA89" s="66"/>
      <c r="FB89" s="66"/>
    </row>
    <row r="90" spans="1:158" hidden="1" x14ac:dyDescent="0.3">
      <c r="A90" s="99">
        <v>44708</v>
      </c>
      <c r="B90" s="100">
        <f t="shared" si="25"/>
        <v>9</v>
      </c>
      <c r="C90" s="96">
        <v>217.09497206703907</v>
      </c>
      <c r="D90" s="93">
        <v>58.465567709135726</v>
      </c>
      <c r="E90" s="93">
        <v>18.786975464343037</v>
      </c>
      <c r="F90" s="69">
        <f t="shared" si="22"/>
        <v>158.62940435790335</v>
      </c>
      <c r="N90" s="70">
        <v>3.5799999999999998E-2</v>
      </c>
      <c r="P90" s="70">
        <v>0.29570000000000002</v>
      </c>
      <c r="X90" s="72"/>
      <c r="Y90" s="73"/>
      <c r="Z90" s="73"/>
      <c r="AA90" s="72">
        <f t="shared" si="23"/>
        <v>577.16148194707057</v>
      </c>
      <c r="AB90" s="72"/>
      <c r="AC90" s="72"/>
      <c r="AD90" s="72"/>
      <c r="AE90" s="72"/>
      <c r="AF90" s="72"/>
      <c r="AH90" s="74">
        <v>7.54</v>
      </c>
      <c r="AI90" s="96"/>
      <c r="AJ90" s="96"/>
      <c r="AK90" s="96"/>
      <c r="AL90" s="87"/>
      <c r="AW90" s="102"/>
      <c r="AX90" s="103"/>
      <c r="AY90" s="103"/>
      <c r="AZ90" s="103"/>
      <c r="BA90" s="103"/>
      <c r="BB90" s="102"/>
      <c r="BC90" s="102"/>
      <c r="BD90" s="102"/>
      <c r="BE90" s="102"/>
      <c r="BH90" s="93"/>
      <c r="BI90" s="93"/>
      <c r="BJ90" s="93"/>
      <c r="BK90" s="88"/>
      <c r="BL90" s="88"/>
      <c r="BM90" s="88"/>
      <c r="BN90" s="88"/>
      <c r="BO90" s="88"/>
      <c r="CC90" s="72"/>
      <c r="CD90" s="72"/>
      <c r="CE90" s="72"/>
      <c r="CF90" s="72"/>
      <c r="CG90" s="72"/>
      <c r="CH90" s="72"/>
      <c r="CI90" s="72"/>
      <c r="CJ90" s="72"/>
      <c r="CM90" s="69"/>
      <c r="CN90" s="69"/>
      <c r="CO90" s="69"/>
      <c r="CP90" s="69"/>
      <c r="CQ90" s="76"/>
      <c r="CR90" s="76"/>
      <c r="CS90" s="177"/>
      <c r="CT90" s="70"/>
      <c r="CU90" s="76"/>
      <c r="CV90" s="77"/>
      <c r="CW90" s="77"/>
      <c r="CX90" s="77"/>
      <c r="CY90" s="77"/>
      <c r="CZ90" s="77"/>
      <c r="DA90" s="66"/>
      <c r="DB90" s="66"/>
      <c r="DC90" s="66"/>
      <c r="DD90" s="66"/>
      <c r="DE90" s="66"/>
      <c r="DF90" s="66"/>
      <c r="DG90" s="66"/>
      <c r="DH90" s="66"/>
      <c r="DI90" s="168"/>
      <c r="DJ90" s="67"/>
      <c r="DK90" s="69"/>
      <c r="DL90" s="69"/>
      <c r="DM90" s="69"/>
      <c r="DN90" s="69"/>
      <c r="DO90" s="69"/>
      <c r="DP90" s="69"/>
      <c r="DQ90" s="69"/>
      <c r="DR90" s="69"/>
      <c r="DS90" s="70"/>
      <c r="DT90" s="70"/>
      <c r="DU90" s="70"/>
      <c r="DV90" s="177"/>
      <c r="DW90" s="177"/>
      <c r="DX90" s="70"/>
      <c r="DY90" s="70"/>
      <c r="DZ90" s="71"/>
      <c r="EA90" s="71"/>
      <c r="EB90" s="180"/>
      <c r="EC90" s="180"/>
      <c r="ED90" s="71"/>
      <c r="EE90" s="180"/>
      <c r="EF90" s="66"/>
      <c r="EG90" s="66"/>
      <c r="EH90" s="79"/>
      <c r="EI90" s="66"/>
      <c r="EJ90" s="79"/>
      <c r="EK90" s="66"/>
      <c r="EL90" s="168"/>
      <c r="EM90" s="67"/>
      <c r="EN90" s="78"/>
      <c r="EO90" s="78"/>
      <c r="EP90" s="78"/>
      <c r="EQ90" s="78"/>
      <c r="ER90" s="79"/>
      <c r="ES90" s="66"/>
      <c r="ET90" s="66"/>
      <c r="EU90" s="66"/>
      <c r="EV90" s="79"/>
      <c r="EW90" s="66"/>
      <c r="EX90" s="66"/>
      <c r="EY90" s="66"/>
      <c r="EZ90" s="66"/>
      <c r="FA90" s="66"/>
      <c r="FB90" s="66"/>
    </row>
    <row r="91" spans="1:158" hidden="1" x14ac:dyDescent="0.3">
      <c r="A91" s="99">
        <v>44711</v>
      </c>
      <c r="B91" s="100">
        <f t="shared" si="25"/>
        <v>12</v>
      </c>
      <c r="C91" s="96">
        <v>174.69273743016757</v>
      </c>
      <c r="D91" s="93">
        <v>55.276536743182874</v>
      </c>
      <c r="E91" s="93">
        <v>15.509057555606514</v>
      </c>
      <c r="F91" s="69">
        <f t="shared" si="22"/>
        <v>119.41620068698469</v>
      </c>
      <c r="K91" s="70">
        <v>47.270299999999999</v>
      </c>
      <c r="N91" s="70">
        <v>2.8799999999999999E-2</v>
      </c>
      <c r="P91" s="70">
        <v>3.4701</v>
      </c>
      <c r="X91" s="72"/>
      <c r="Y91" s="73"/>
      <c r="Z91" s="73"/>
      <c r="AA91" s="72">
        <f t="shared" si="23"/>
        <v>437.98597947824607</v>
      </c>
      <c r="AB91" s="72"/>
      <c r="AC91" s="72"/>
      <c r="AD91" s="72"/>
      <c r="AE91" s="72"/>
      <c r="AF91" s="72"/>
      <c r="AH91" s="74">
        <v>7.68</v>
      </c>
      <c r="AI91" s="96"/>
      <c r="AJ91" s="96"/>
      <c r="AK91" s="96"/>
      <c r="AL91" s="87"/>
      <c r="AW91" s="102"/>
      <c r="AX91" s="103"/>
      <c r="AY91" s="103"/>
      <c r="AZ91" s="103"/>
      <c r="BA91" s="103"/>
      <c r="BB91" s="102"/>
      <c r="BC91" s="102"/>
      <c r="BD91" s="102"/>
      <c r="BE91" s="102"/>
      <c r="BH91" s="93"/>
      <c r="BI91" s="93"/>
      <c r="BJ91" s="93"/>
      <c r="BK91" s="88"/>
      <c r="BL91" s="88"/>
      <c r="BM91" s="88"/>
      <c r="BN91" s="88"/>
      <c r="BO91" s="88"/>
      <c r="CC91" s="72"/>
      <c r="CD91" s="72"/>
      <c r="CE91" s="72"/>
      <c r="CF91" s="72"/>
      <c r="CG91" s="72"/>
      <c r="CH91" s="72"/>
      <c r="CI91" s="72"/>
      <c r="CJ91" s="72"/>
      <c r="CM91" s="69"/>
      <c r="CN91" s="69"/>
      <c r="CO91" s="69"/>
      <c r="CP91" s="69"/>
      <c r="CQ91" s="76"/>
      <c r="CR91" s="76"/>
      <c r="CS91" s="177"/>
      <c r="CT91" s="70"/>
      <c r="CU91" s="76"/>
      <c r="CV91" s="77"/>
      <c r="CW91" s="77"/>
      <c r="CX91" s="77"/>
      <c r="CY91" s="77"/>
      <c r="CZ91" s="77"/>
      <c r="DA91" s="66"/>
      <c r="DB91" s="66"/>
      <c r="DC91" s="66"/>
      <c r="DD91" s="66"/>
      <c r="DE91" s="66"/>
      <c r="DF91" s="66"/>
      <c r="DG91" s="66"/>
      <c r="DH91" s="66"/>
      <c r="DI91" s="168"/>
      <c r="DJ91" s="67"/>
      <c r="DK91" s="69"/>
      <c r="DL91" s="69"/>
      <c r="DM91" s="69"/>
      <c r="DN91" s="69"/>
      <c r="DO91" s="69"/>
      <c r="DP91" s="69"/>
      <c r="DQ91" s="69"/>
      <c r="DR91" s="69"/>
      <c r="DS91" s="70"/>
      <c r="DT91" s="70"/>
      <c r="DU91" s="70"/>
      <c r="DV91" s="177"/>
      <c r="DW91" s="177"/>
      <c r="DX91" s="70"/>
      <c r="DY91" s="70"/>
      <c r="DZ91" s="71"/>
      <c r="EA91" s="71"/>
      <c r="EB91" s="180"/>
      <c r="EC91" s="180"/>
      <c r="ED91" s="71"/>
      <c r="EE91" s="180"/>
      <c r="EF91" s="66"/>
      <c r="EG91" s="66"/>
      <c r="EH91" s="79"/>
      <c r="EI91" s="66"/>
      <c r="EJ91" s="79"/>
      <c r="EK91" s="66"/>
      <c r="EL91" s="168"/>
      <c r="EM91" s="67"/>
      <c r="EN91" s="78"/>
      <c r="EO91" s="78"/>
      <c r="EP91" s="78"/>
      <c r="EQ91" s="78"/>
      <c r="ER91" s="79"/>
      <c r="ES91" s="66"/>
      <c r="ET91" s="66"/>
      <c r="EU91" s="66"/>
      <c r="EV91" s="79"/>
      <c r="EW91" s="66"/>
      <c r="EX91" s="66"/>
      <c r="EY91" s="66"/>
      <c r="EZ91" s="66"/>
      <c r="FA91" s="66"/>
      <c r="FB91" s="66"/>
    </row>
    <row r="92" spans="1:158" hidden="1" x14ac:dyDescent="0.3">
      <c r="A92" s="99">
        <v>44713</v>
      </c>
      <c r="B92" s="100">
        <f t="shared" si="25"/>
        <v>14</v>
      </c>
      <c r="C92" s="96">
        <v>90.238072473467824</v>
      </c>
      <c r="D92" s="93">
        <v>54.541231126596976</v>
      </c>
      <c r="E92" s="93">
        <v>17.03617541002675</v>
      </c>
      <c r="F92" s="69">
        <f t="shared" si="22"/>
        <v>35.696841346870848</v>
      </c>
      <c r="K92" s="70">
        <v>49.047899999999998</v>
      </c>
      <c r="N92" s="70">
        <v>7.0599999999999996E-2</v>
      </c>
      <c r="P92" s="70">
        <v>10.325100000000001</v>
      </c>
      <c r="X92" s="72"/>
      <c r="Y92" s="73"/>
      <c r="Z92" s="73"/>
      <c r="AA92" s="72">
        <f t="shared" si="23"/>
        <v>140.84922930831402</v>
      </c>
      <c r="AB92" s="72"/>
      <c r="AC92" s="72"/>
      <c r="AD92" s="72"/>
      <c r="AE92" s="72"/>
      <c r="AF92" s="72"/>
      <c r="AH92" s="74">
        <v>7.77</v>
      </c>
      <c r="AI92" s="96"/>
      <c r="AJ92" s="96"/>
      <c r="AK92" s="96"/>
      <c r="AL92" s="87"/>
      <c r="AW92" s="102"/>
      <c r="AX92" s="103"/>
      <c r="AY92" s="103"/>
      <c r="AZ92" s="103"/>
      <c r="BA92" s="103"/>
      <c r="BB92" s="102"/>
      <c r="BC92" s="102"/>
      <c r="BD92" s="102"/>
      <c r="BE92" s="102"/>
      <c r="BH92" s="93"/>
      <c r="BI92" s="93"/>
      <c r="BJ92" s="93"/>
      <c r="BK92" s="88"/>
      <c r="BL92" s="88"/>
      <c r="BM92" s="88"/>
      <c r="BN92" s="88"/>
      <c r="BO92" s="88"/>
      <c r="CC92" s="72"/>
      <c r="CD92" s="72"/>
      <c r="CE92" s="72"/>
      <c r="CF92" s="72"/>
      <c r="CG92" s="72"/>
      <c r="CH92" s="72"/>
      <c r="CI92" s="72"/>
      <c r="CJ92" s="72"/>
      <c r="CM92" s="69"/>
      <c r="CN92" s="69"/>
      <c r="CO92" s="69"/>
      <c r="CP92" s="69"/>
      <c r="CQ92" s="76"/>
      <c r="CR92" s="76"/>
      <c r="CS92" s="177"/>
      <c r="CT92" s="70"/>
      <c r="CU92" s="76"/>
      <c r="CV92" s="77"/>
      <c r="CW92" s="77"/>
      <c r="CX92" s="77"/>
      <c r="CY92" s="77"/>
      <c r="CZ92" s="77"/>
      <c r="DA92" s="66"/>
      <c r="DB92" s="66"/>
      <c r="DC92" s="66"/>
      <c r="DD92" s="66"/>
      <c r="DE92" s="66"/>
      <c r="DF92" s="66"/>
      <c r="DG92" s="66"/>
      <c r="DH92" s="66"/>
      <c r="DI92" s="168"/>
      <c r="DJ92" s="67"/>
      <c r="DK92" s="69"/>
      <c r="DL92" s="69"/>
      <c r="DM92" s="69"/>
      <c r="DN92" s="69"/>
      <c r="DO92" s="69"/>
      <c r="DP92" s="69"/>
      <c r="DQ92" s="69"/>
      <c r="DR92" s="69"/>
      <c r="DS92" s="70"/>
      <c r="DT92" s="70"/>
      <c r="DU92" s="70"/>
      <c r="DV92" s="177"/>
      <c r="DW92" s="177"/>
      <c r="DX92" s="70"/>
      <c r="DY92" s="70"/>
      <c r="DZ92" s="71"/>
      <c r="EA92" s="71"/>
      <c r="EB92" s="180"/>
      <c r="EC92" s="180"/>
      <c r="ED92" s="71"/>
      <c r="EE92" s="180"/>
      <c r="EF92" s="66"/>
      <c r="EG92" s="66"/>
      <c r="EH92" s="79"/>
      <c r="EI92" s="66"/>
      <c r="EJ92" s="79"/>
      <c r="EK92" s="66"/>
      <c r="EL92" s="168"/>
      <c r="EM92" s="67"/>
      <c r="EN92" s="78"/>
      <c r="EO92" s="78"/>
      <c r="EP92" s="78"/>
      <c r="EQ92" s="78"/>
      <c r="ER92" s="79"/>
      <c r="ES92" s="66"/>
      <c r="ET92" s="66"/>
      <c r="EU92" s="66"/>
      <c r="EV92" s="79"/>
      <c r="EW92" s="66"/>
      <c r="EX92" s="66"/>
      <c r="EY92" s="66"/>
      <c r="EZ92" s="66"/>
      <c r="FA92" s="66"/>
      <c r="FB92" s="66"/>
    </row>
    <row r="93" spans="1:158" hidden="1" x14ac:dyDescent="0.3">
      <c r="A93" s="99">
        <v>44715</v>
      </c>
      <c r="B93" s="100">
        <f t="shared" si="25"/>
        <v>16</v>
      </c>
      <c r="C93" s="96">
        <v>201.81661726742519</v>
      </c>
      <c r="D93" s="93">
        <v>61.742160278745629</v>
      </c>
      <c r="E93" s="93">
        <v>22.898685587995814</v>
      </c>
      <c r="F93" s="69">
        <f t="shared" si="22"/>
        <v>140.07445698867957</v>
      </c>
      <c r="N93" s="70">
        <v>0.52759999999999996</v>
      </c>
      <c r="P93" s="70">
        <v>13.148300000000001</v>
      </c>
      <c r="X93" s="72"/>
      <c r="Y93" s="73"/>
      <c r="Z93" s="73"/>
      <c r="AA93" s="72">
        <f t="shared" si="23"/>
        <v>511.3062627442215</v>
      </c>
      <c r="AB93" s="72"/>
      <c r="AC93" s="72"/>
      <c r="AD93" s="72"/>
      <c r="AE93" s="72"/>
      <c r="AF93" s="72"/>
      <c r="AH93" s="74">
        <v>8.08</v>
      </c>
      <c r="AI93" s="96"/>
      <c r="AJ93" s="96"/>
      <c r="AK93" s="96"/>
      <c r="AL93" s="87"/>
      <c r="AW93" s="102"/>
      <c r="AX93" s="103"/>
      <c r="AY93" s="103"/>
      <c r="AZ93" s="103"/>
      <c r="BA93" s="103"/>
      <c r="BB93" s="102"/>
      <c r="BC93" s="102"/>
      <c r="BD93" s="102"/>
      <c r="BE93" s="102"/>
      <c r="BH93" s="93"/>
      <c r="BI93" s="93"/>
      <c r="BJ93" s="93"/>
      <c r="BK93" s="88"/>
      <c r="BL93" s="88"/>
      <c r="BM93" s="88"/>
      <c r="BN93" s="88"/>
      <c r="BO93" s="88"/>
      <c r="CC93" s="72"/>
      <c r="CD93" s="72"/>
      <c r="CE93" s="72"/>
      <c r="CF93" s="72"/>
      <c r="CG93" s="72"/>
      <c r="CH93" s="72"/>
      <c r="CI93" s="72"/>
      <c r="CJ93" s="72"/>
      <c r="CM93" s="69"/>
      <c r="CN93" s="69"/>
      <c r="CO93" s="69"/>
      <c r="CP93" s="69"/>
      <c r="CQ93" s="76"/>
      <c r="CR93" s="76"/>
      <c r="CS93" s="177"/>
      <c r="CT93" s="70"/>
      <c r="CU93" s="76"/>
      <c r="CV93" s="77"/>
      <c r="CW93" s="77"/>
      <c r="CX93" s="77"/>
      <c r="CY93" s="77"/>
      <c r="CZ93" s="77"/>
      <c r="DA93" s="66"/>
      <c r="DB93" s="66"/>
      <c r="DC93" s="66"/>
      <c r="DD93" s="66"/>
      <c r="DE93" s="66"/>
      <c r="DF93" s="66"/>
      <c r="DG93" s="66"/>
      <c r="DH93" s="66"/>
      <c r="DI93" s="168"/>
      <c r="DJ93" s="67"/>
      <c r="DK93" s="69"/>
      <c r="DL93" s="69"/>
      <c r="DM93" s="69"/>
      <c r="DN93" s="69"/>
      <c r="DO93" s="69"/>
      <c r="DP93" s="69"/>
      <c r="DQ93" s="69"/>
      <c r="DR93" s="69"/>
      <c r="DS93" s="70"/>
      <c r="DT93" s="70"/>
      <c r="DU93" s="70"/>
      <c r="DV93" s="177"/>
      <c r="DW93" s="177"/>
      <c r="DX93" s="70"/>
      <c r="DY93" s="70"/>
      <c r="DZ93" s="71"/>
      <c r="EA93" s="71"/>
      <c r="EB93" s="180"/>
      <c r="EC93" s="180"/>
      <c r="ED93" s="71"/>
      <c r="EE93" s="180"/>
      <c r="EF93" s="66"/>
      <c r="EG93" s="66"/>
      <c r="EH93" s="79"/>
      <c r="EI93" s="66"/>
      <c r="EJ93" s="79"/>
      <c r="EK93" s="66"/>
      <c r="EL93" s="168"/>
      <c r="EM93" s="67"/>
      <c r="EN93" s="78"/>
      <c r="EO93" s="78"/>
      <c r="EP93" s="78"/>
      <c r="EQ93" s="78"/>
      <c r="ER93" s="79"/>
      <c r="ES93" s="66"/>
      <c r="ET93" s="66"/>
      <c r="EU93" s="66"/>
      <c r="EV93" s="79"/>
      <c r="EW93" s="66"/>
      <c r="EX93" s="66"/>
      <c r="EY93" s="66"/>
      <c r="EZ93" s="66"/>
      <c r="FA93" s="66"/>
      <c r="FB93" s="66"/>
    </row>
    <row r="94" spans="1:158" hidden="1" x14ac:dyDescent="0.3">
      <c r="A94" s="86"/>
      <c r="B94" s="86"/>
      <c r="C94" s="96"/>
      <c r="D94" s="93"/>
      <c r="E94" s="93"/>
      <c r="X94" s="72"/>
      <c r="Y94" s="73"/>
      <c r="Z94" s="73"/>
      <c r="AA94" s="72"/>
      <c r="AB94" s="72"/>
      <c r="AC94" s="72"/>
      <c r="AD94" s="72"/>
      <c r="AE94" s="72"/>
      <c r="AF94" s="72"/>
      <c r="AI94" s="96"/>
      <c r="AJ94" s="96"/>
      <c r="AK94" s="96"/>
      <c r="AL94" s="87"/>
      <c r="AW94" s="72"/>
      <c r="AX94" s="75"/>
      <c r="AY94" s="75"/>
      <c r="AZ94" s="75"/>
      <c r="BA94" s="75"/>
      <c r="BB94" s="72"/>
      <c r="BC94" s="72"/>
      <c r="BD94" s="72"/>
      <c r="BE94" s="72"/>
      <c r="BH94" s="93"/>
      <c r="BI94" s="93"/>
      <c r="BJ94" s="93"/>
      <c r="BK94" s="88"/>
      <c r="BL94" s="88"/>
      <c r="BM94" s="88"/>
      <c r="BN94" s="88"/>
      <c r="BO94" s="88"/>
      <c r="CC94" s="72"/>
      <c r="CD94" s="72"/>
      <c r="CE94" s="72"/>
      <c r="CF94" s="72"/>
      <c r="CG94" s="72"/>
      <c r="CH94" s="72"/>
      <c r="CI94" s="72"/>
      <c r="CJ94" s="72"/>
      <c r="CM94" s="69"/>
      <c r="CN94" s="69"/>
      <c r="CO94" s="69"/>
      <c r="CP94" s="69"/>
      <c r="CQ94" s="76"/>
      <c r="CR94" s="76"/>
      <c r="CS94" s="177"/>
      <c r="CT94" s="70"/>
      <c r="CU94" s="76"/>
      <c r="CV94" s="77"/>
      <c r="CW94" s="77"/>
      <c r="CX94" s="77"/>
      <c r="CY94" s="77"/>
      <c r="CZ94" s="77"/>
      <c r="DA94" s="66"/>
      <c r="DB94" s="66"/>
      <c r="DC94" s="66"/>
      <c r="DD94" s="66"/>
      <c r="DE94" s="66"/>
      <c r="DF94" s="66"/>
      <c r="DG94" s="66"/>
      <c r="DH94" s="66"/>
      <c r="DI94" s="168"/>
      <c r="DJ94" s="67"/>
      <c r="DK94" s="69"/>
      <c r="DL94" s="69"/>
      <c r="DM94" s="69"/>
      <c r="DN94" s="69"/>
      <c r="DO94" s="69"/>
      <c r="DP94" s="69"/>
      <c r="DQ94" s="69"/>
      <c r="DR94" s="69"/>
      <c r="DS94" s="70"/>
      <c r="DT94" s="70"/>
      <c r="DU94" s="70"/>
      <c r="DV94" s="177"/>
      <c r="DW94" s="177"/>
      <c r="DX94" s="70"/>
      <c r="DY94" s="70"/>
      <c r="DZ94" s="71"/>
      <c r="EA94" s="71"/>
      <c r="EB94" s="180"/>
      <c r="EC94" s="180"/>
      <c r="ED94" s="71"/>
      <c r="EE94" s="180"/>
      <c r="EF94" s="66"/>
      <c r="EG94" s="66"/>
      <c r="EH94" s="79"/>
      <c r="EI94" s="66"/>
      <c r="EJ94" s="79"/>
      <c r="EK94" s="66"/>
      <c r="EL94" s="168"/>
      <c r="EM94" s="67"/>
      <c r="EN94" s="78"/>
      <c r="EO94" s="78"/>
      <c r="EP94" s="78"/>
      <c r="EQ94" s="78"/>
      <c r="ER94" s="79" t="e">
        <f>(Y94-CD94)/Y94*100</f>
        <v>#DIV/0!</v>
      </c>
      <c r="ES94" s="66"/>
      <c r="ET94" s="66"/>
      <c r="EU94" s="66"/>
      <c r="EV94" s="79"/>
      <c r="EW94" s="66"/>
      <c r="EX94" s="66"/>
      <c r="EY94" s="66"/>
      <c r="EZ94" s="66"/>
      <c r="FA94" s="66"/>
      <c r="FB94" s="66"/>
    </row>
    <row r="95" spans="1:158" hidden="1" x14ac:dyDescent="0.3">
      <c r="A95" s="86"/>
      <c r="B95" s="86"/>
      <c r="C95" s="96"/>
      <c r="D95" s="93"/>
      <c r="E95" s="93"/>
      <c r="X95" s="72"/>
      <c r="Y95" s="73"/>
      <c r="Z95" s="73"/>
      <c r="AA95" s="72"/>
      <c r="AB95" s="72"/>
      <c r="AC95" s="72"/>
      <c r="AD95" s="72"/>
      <c r="AE95" s="72"/>
      <c r="AF95" s="72"/>
      <c r="AI95" s="96"/>
      <c r="AJ95" s="96"/>
      <c r="AK95" s="96"/>
      <c r="AL95" s="87"/>
      <c r="AW95" s="72"/>
      <c r="AX95" s="75"/>
      <c r="AY95" s="75"/>
      <c r="AZ95" s="75"/>
      <c r="BA95" s="75"/>
      <c r="BB95" s="72"/>
      <c r="BC95" s="72"/>
      <c r="BD95" s="72"/>
      <c r="BE95" s="72"/>
      <c r="BH95" s="93"/>
      <c r="BI95" s="93"/>
      <c r="BJ95" s="93"/>
      <c r="BK95" s="88"/>
      <c r="BL95" s="88"/>
      <c r="BM95" s="88"/>
      <c r="BN95" s="88"/>
      <c r="BO95" s="88"/>
      <c r="CC95" s="72"/>
      <c r="CD95" s="72"/>
      <c r="CE95" s="72"/>
      <c r="CF95" s="72"/>
      <c r="CG95" s="72"/>
      <c r="CH95" s="72"/>
      <c r="CI95" s="72"/>
      <c r="CJ95" s="72"/>
      <c r="CM95" s="69"/>
      <c r="CN95" s="69"/>
      <c r="CO95" s="69"/>
      <c r="CP95" s="69"/>
      <c r="CQ95" s="76"/>
      <c r="CR95" s="76"/>
      <c r="CS95" s="177"/>
      <c r="CT95" s="70"/>
      <c r="CU95" s="76"/>
      <c r="CV95" s="77"/>
      <c r="CW95" s="77"/>
      <c r="CX95" s="77"/>
      <c r="CY95" s="77"/>
      <c r="CZ95" s="77"/>
      <c r="DA95" s="66"/>
      <c r="DB95" s="66"/>
      <c r="DC95" s="66"/>
      <c r="DD95" s="66"/>
      <c r="DE95" s="66"/>
      <c r="DF95" s="66"/>
      <c r="DG95" s="66"/>
      <c r="DH95" s="66"/>
      <c r="DI95" s="168"/>
      <c r="DJ95" s="67"/>
      <c r="DK95" s="69"/>
      <c r="DL95" s="69"/>
      <c r="DM95" s="69"/>
      <c r="DN95" s="69"/>
      <c r="DO95" s="69"/>
      <c r="DP95" s="69"/>
      <c r="DQ95" s="69"/>
      <c r="DR95" s="69"/>
      <c r="DS95" s="70"/>
      <c r="DT95" s="70"/>
      <c r="DU95" s="70"/>
      <c r="DV95" s="177"/>
      <c r="DW95" s="177"/>
      <c r="DX95" s="70"/>
      <c r="DY95" s="70"/>
      <c r="DZ95" s="71"/>
      <c r="EA95" s="71"/>
      <c r="EB95" s="180"/>
      <c r="EC95" s="180"/>
      <c r="ED95" s="71"/>
      <c r="EE95" s="180"/>
      <c r="EF95" s="66"/>
      <c r="EG95" s="66"/>
      <c r="EH95" s="79"/>
      <c r="EI95" s="66"/>
      <c r="EJ95" s="79"/>
      <c r="EK95" s="66"/>
      <c r="EL95" s="168"/>
      <c r="EM95" s="67"/>
      <c r="EN95" s="78"/>
      <c r="EO95" s="78"/>
      <c r="EP95" s="78"/>
      <c r="EQ95" s="78"/>
      <c r="ER95" s="79" t="e">
        <f>(Y95-CD95)/Y95*100</f>
        <v>#DIV/0!</v>
      </c>
      <c r="ES95" s="66"/>
      <c r="ET95" s="66"/>
      <c r="EU95" s="66"/>
      <c r="EV95" s="79"/>
      <c r="EW95" s="66"/>
      <c r="EX95" s="66"/>
      <c r="EY95" s="66"/>
      <c r="EZ95" s="66"/>
      <c r="FA95" s="66"/>
      <c r="FB95" s="66"/>
    </row>
    <row r="96" spans="1:158" hidden="1" x14ac:dyDescent="0.3">
      <c r="A96" s="86">
        <v>44699</v>
      </c>
      <c r="B96" s="104">
        <v>0</v>
      </c>
      <c r="C96" s="96"/>
      <c r="D96" s="93"/>
      <c r="E96" s="93"/>
      <c r="K96" s="70">
        <v>39.900399999999998</v>
      </c>
      <c r="N96" s="70">
        <v>1.4159999999999999</v>
      </c>
      <c r="P96" s="70">
        <v>6.7836999999999996</v>
      </c>
      <c r="Q96" s="70">
        <v>64.815200000000004</v>
      </c>
      <c r="R96" s="71">
        <v>38.0214</v>
      </c>
      <c r="S96" s="71">
        <f>R96/1.28786</f>
        <v>29.522929510971689</v>
      </c>
      <c r="X96" s="72"/>
      <c r="Y96" s="73">
        <v>140</v>
      </c>
      <c r="Z96" s="73"/>
      <c r="AA96" s="72">
        <v>147.82062931450781</v>
      </c>
      <c r="AB96" s="72">
        <v>73</v>
      </c>
      <c r="AC96" s="72"/>
      <c r="AD96" s="72"/>
      <c r="AE96" s="72"/>
      <c r="AF96" s="72"/>
      <c r="AH96" s="74">
        <v>7.68</v>
      </c>
      <c r="AI96" s="96">
        <v>305.84051915725843</v>
      </c>
      <c r="AJ96" s="96">
        <v>333.75543519719281</v>
      </c>
      <c r="AK96" s="96">
        <v>19.095853558687644</v>
      </c>
      <c r="AL96" s="87">
        <v>-27.914916039934383</v>
      </c>
      <c r="AM96" s="70">
        <v>24.293199999999999</v>
      </c>
      <c r="AO96" s="70">
        <v>6.0100000000000001E-2</v>
      </c>
      <c r="AQ96" s="70">
        <v>0.46529999999999999</v>
      </c>
      <c r="AR96" s="71">
        <v>336.63720000000001</v>
      </c>
      <c r="AW96" s="72"/>
      <c r="AX96" s="75">
        <v>30</v>
      </c>
      <c r="AY96" s="75"/>
      <c r="AZ96" s="75">
        <v>87.253639472456257</v>
      </c>
      <c r="BA96" s="75"/>
      <c r="BB96" s="72">
        <v>41</v>
      </c>
      <c r="BC96" s="72"/>
      <c r="BD96" s="72"/>
      <c r="BE96" s="72"/>
      <c r="BG96" s="74">
        <v>6.96</v>
      </c>
      <c r="BH96" s="93">
        <v>338.1633923015379</v>
      </c>
      <c r="BI96" s="93">
        <v>334.85391715615219</v>
      </c>
      <c r="BJ96" s="93">
        <v>18.632668577109769</v>
      </c>
      <c r="BK96" s="88">
        <v>3.3094751453857043</v>
      </c>
      <c r="BL96" s="88"/>
      <c r="BM96" s="88"/>
      <c r="BN96" s="88"/>
      <c r="BO96" s="88"/>
      <c r="BP96" s="70">
        <v>24.224499999999999</v>
      </c>
      <c r="BS96" s="70">
        <v>6.5100000000000005E-2</v>
      </c>
      <c r="BT96" s="70">
        <f>BS96*0.2259</f>
        <v>1.470609E-2</v>
      </c>
      <c r="BU96" s="70">
        <v>0.32479999999999998</v>
      </c>
      <c r="BV96" s="70">
        <v>0.19500000000000001</v>
      </c>
      <c r="BW96" s="71">
        <v>334.98469999999998</v>
      </c>
      <c r="BX96" s="71">
        <f>BW96/1.28786</f>
        <v>260.10956159831034</v>
      </c>
      <c r="CC96" s="72"/>
      <c r="CD96" s="72"/>
      <c r="CE96" s="72"/>
      <c r="CF96" s="72"/>
      <c r="CG96" s="72"/>
      <c r="CH96" s="72"/>
      <c r="CI96" s="72"/>
      <c r="CJ96" s="72"/>
      <c r="CM96" s="69"/>
      <c r="CN96" s="69"/>
      <c r="CO96" s="69"/>
      <c r="CP96" s="69"/>
      <c r="CQ96" s="76"/>
      <c r="CR96" s="76"/>
      <c r="CS96" s="177"/>
      <c r="CT96" s="70"/>
      <c r="CU96" s="76"/>
      <c r="CV96" s="77"/>
      <c r="CW96" s="77"/>
      <c r="CX96" s="77"/>
      <c r="CY96" s="77"/>
      <c r="CZ96" s="77"/>
      <c r="DA96" s="66"/>
      <c r="DB96" s="66"/>
      <c r="DC96" s="66"/>
      <c r="DD96" s="66"/>
      <c r="DE96" s="66"/>
      <c r="DF96" s="66"/>
      <c r="DG96" s="66"/>
      <c r="DH96" s="66"/>
      <c r="DI96" s="168"/>
      <c r="DJ96" s="67"/>
      <c r="DK96" s="69"/>
      <c r="DL96" s="69"/>
      <c r="DM96" s="69"/>
      <c r="DN96" s="69"/>
      <c r="DO96" s="69"/>
      <c r="DP96" s="69"/>
      <c r="DQ96" s="69"/>
      <c r="DR96" s="69"/>
      <c r="DS96" s="70"/>
      <c r="DT96" s="70"/>
      <c r="DU96" s="70"/>
      <c r="DV96" s="177"/>
      <c r="DW96" s="177"/>
      <c r="DX96" s="70"/>
      <c r="DY96" s="70"/>
      <c r="DZ96" s="71"/>
      <c r="EA96" s="71"/>
      <c r="EB96" s="180"/>
      <c r="EC96" s="180"/>
      <c r="ED96" s="71"/>
      <c r="EE96" s="180"/>
      <c r="EF96" s="66"/>
      <c r="EG96" s="66"/>
      <c r="EH96" s="79"/>
      <c r="EI96" s="66"/>
      <c r="EJ96" s="79"/>
      <c r="EK96" s="66"/>
      <c r="EL96" s="168"/>
      <c r="EM96" s="67"/>
      <c r="EN96" s="78"/>
      <c r="EO96" s="78"/>
      <c r="EP96" s="78"/>
      <c r="EQ96" s="78"/>
      <c r="ER96" s="79"/>
      <c r="ES96" s="66"/>
      <c r="ET96" s="66"/>
      <c r="EU96" s="66"/>
      <c r="EV96" s="79"/>
      <c r="EW96" s="79"/>
      <c r="EX96" s="66"/>
      <c r="EY96" s="66"/>
      <c r="EZ96" s="66"/>
      <c r="FA96" s="66"/>
      <c r="FB96" s="66"/>
    </row>
    <row r="97" spans="1:158" s="116" customFormat="1" hidden="1" x14ac:dyDescent="0.3">
      <c r="A97" s="105">
        <v>44700</v>
      </c>
      <c r="B97" s="106">
        <f>A97-A96+B96</f>
        <v>1</v>
      </c>
      <c r="C97" s="107">
        <v>329.84265268023825</v>
      </c>
      <c r="D97" s="108">
        <v>21.035929514074301</v>
      </c>
      <c r="E97" s="108">
        <v>22.408327972396048</v>
      </c>
      <c r="F97" s="109">
        <f t="shared" si="22"/>
        <v>308.80672316616392</v>
      </c>
      <c r="G97" s="109"/>
      <c r="H97" s="109"/>
      <c r="I97" s="109"/>
      <c r="J97" s="109"/>
      <c r="K97" s="109">
        <v>44.612200000000001</v>
      </c>
      <c r="L97" s="109"/>
      <c r="M97" s="109"/>
      <c r="N97" s="109">
        <v>7.0499999999999993E-2</v>
      </c>
      <c r="O97" s="70">
        <f>N97*0.2259</f>
        <v>1.5925949999999998E-2</v>
      </c>
      <c r="P97" s="109">
        <v>4.2153</v>
      </c>
      <c r="Q97" s="109">
        <v>46.006399999999999</v>
      </c>
      <c r="R97" s="109">
        <v>40.534700000000001</v>
      </c>
      <c r="S97" s="71">
        <f t="shared" ref="S97:S150" si="26">R97/1.28786</f>
        <v>31.474461509791439</v>
      </c>
      <c r="T97" s="109"/>
      <c r="U97" s="109"/>
      <c r="V97" s="109"/>
      <c r="W97" s="109"/>
      <c r="X97" s="109"/>
      <c r="Y97" s="110">
        <v>1030</v>
      </c>
      <c r="Z97" s="110"/>
      <c r="AA97" s="109">
        <f xml:space="preserve"> 2.7578*F97 + 196.43</f>
        <v>1048.0571811476468</v>
      </c>
      <c r="AB97" s="109">
        <v>53</v>
      </c>
      <c r="AC97" s="109"/>
      <c r="AD97" s="109"/>
      <c r="AE97" s="109"/>
      <c r="AF97" s="109"/>
      <c r="AG97" s="168"/>
      <c r="AH97" s="109">
        <v>5.87</v>
      </c>
      <c r="AI97" s="111"/>
      <c r="AJ97" s="111"/>
      <c r="AK97" s="111"/>
      <c r="AL97" s="112"/>
      <c r="AM97" s="109">
        <v>27.287800000000001</v>
      </c>
      <c r="AN97" s="109"/>
      <c r="AO97" s="109">
        <v>6.4000000000000001E-2</v>
      </c>
      <c r="AP97" s="109">
        <v>8.5413999999999994</v>
      </c>
      <c r="AQ97" s="109">
        <v>2.5604</v>
      </c>
      <c r="AR97" s="109">
        <v>324.18900000000002</v>
      </c>
      <c r="AS97" s="109"/>
      <c r="AT97" s="109"/>
      <c r="AU97" s="109"/>
      <c r="AV97" s="109"/>
      <c r="AW97" s="109"/>
      <c r="AX97" s="113"/>
      <c r="AY97" s="113"/>
      <c r="AZ97" s="113"/>
      <c r="BA97" s="113"/>
      <c r="BB97" s="109"/>
      <c r="BC97" s="109"/>
      <c r="BD97" s="109"/>
      <c r="BE97" s="109"/>
      <c r="BF97" s="168"/>
      <c r="BG97" s="109"/>
      <c r="BH97" s="108"/>
      <c r="BI97" s="108"/>
      <c r="BJ97" s="108"/>
      <c r="BK97" s="114"/>
      <c r="BL97" s="114"/>
      <c r="BM97" s="114"/>
      <c r="BN97" s="114"/>
      <c r="BO97" s="114"/>
      <c r="BP97" s="109">
        <v>24.412199999999999</v>
      </c>
      <c r="BQ97" s="109"/>
      <c r="BR97" s="109"/>
      <c r="BS97" s="109">
        <v>3.7999999999999999E-2</v>
      </c>
      <c r="BT97" s="70">
        <f t="shared" ref="BT97:BT144" si="27">BS97*0.2259</f>
        <v>8.5842000000000002E-3</v>
      </c>
      <c r="BU97" s="109">
        <v>7.7557</v>
      </c>
      <c r="BV97" s="109">
        <v>2.5771000000000002</v>
      </c>
      <c r="BW97" s="109">
        <v>321.21089999999998</v>
      </c>
      <c r="BX97" s="71">
        <f t="shared" ref="BX97:BX150" si="28">BW97/1.28786</f>
        <v>249.41445498734333</v>
      </c>
      <c r="BY97" s="109"/>
      <c r="BZ97" s="109"/>
      <c r="CA97" s="109"/>
      <c r="CB97" s="109"/>
      <c r="CC97" s="109"/>
      <c r="CD97" s="109"/>
      <c r="CE97" s="109"/>
      <c r="CF97" s="109"/>
      <c r="CG97" s="109"/>
      <c r="CH97" s="109"/>
      <c r="CI97" s="109"/>
      <c r="CJ97" s="109"/>
      <c r="CK97" s="168"/>
      <c r="CL97" s="109"/>
      <c r="CM97" s="109"/>
      <c r="CN97" s="109"/>
      <c r="CO97" s="109"/>
      <c r="CP97" s="109"/>
      <c r="CQ97" s="115"/>
      <c r="CR97" s="115"/>
      <c r="CS97" s="113"/>
      <c r="CT97" s="109"/>
      <c r="CU97" s="115"/>
      <c r="CV97" s="115"/>
      <c r="CW97" s="115"/>
      <c r="CX97" s="115"/>
      <c r="CY97" s="115"/>
      <c r="CZ97" s="115"/>
      <c r="DA97" s="115"/>
      <c r="DB97" s="115"/>
      <c r="DC97" s="115"/>
      <c r="DD97" s="115"/>
      <c r="DE97" s="115"/>
      <c r="DF97" s="115"/>
      <c r="DG97" s="115"/>
      <c r="DH97" s="115"/>
      <c r="DI97" s="168"/>
      <c r="DJ97" s="115"/>
      <c r="DK97" s="109"/>
      <c r="DL97" s="109"/>
      <c r="DM97" s="109"/>
      <c r="DN97" s="109"/>
      <c r="DO97" s="109"/>
      <c r="DP97" s="109"/>
      <c r="DQ97" s="109"/>
      <c r="DR97" s="109"/>
      <c r="DS97" s="109"/>
      <c r="DT97" s="109"/>
      <c r="DU97" s="109"/>
      <c r="DV97" s="113"/>
      <c r="DW97" s="177"/>
      <c r="DX97" s="109"/>
      <c r="DY97" s="109"/>
      <c r="DZ97" s="109"/>
      <c r="EA97" s="71"/>
      <c r="EB97" s="113"/>
      <c r="EC97" s="113"/>
      <c r="ED97" s="109"/>
      <c r="EE97" s="113"/>
      <c r="EF97" s="115"/>
      <c r="EG97" s="115"/>
      <c r="EH97" s="109"/>
      <c r="EI97" s="115"/>
      <c r="EJ97" s="109"/>
      <c r="EK97" s="115"/>
      <c r="EL97" s="168"/>
      <c r="EM97" s="115"/>
      <c r="EN97" s="109"/>
      <c r="EO97" s="109"/>
      <c r="EP97" s="109"/>
      <c r="EQ97" s="109"/>
      <c r="ER97" s="109"/>
      <c r="ES97" s="115"/>
      <c r="ET97" s="115"/>
      <c r="EU97" s="115"/>
      <c r="EV97" s="109"/>
      <c r="EW97" s="109"/>
      <c r="EX97" s="115"/>
      <c r="EY97" s="115"/>
      <c r="EZ97" s="115"/>
      <c r="FA97" s="115"/>
      <c r="FB97" s="115"/>
    </row>
    <row r="98" spans="1:158" ht="16.2" hidden="1" customHeight="1" x14ac:dyDescent="0.3">
      <c r="A98" s="86">
        <v>44701</v>
      </c>
      <c r="B98" s="106">
        <f t="shared" ref="B98:B150" si="29">A98-A97+B97</f>
        <v>2</v>
      </c>
      <c r="C98" s="96">
        <v>320.02844697306421</v>
      </c>
      <c r="D98" s="93">
        <v>26.940270043481579</v>
      </c>
      <c r="E98" s="93">
        <v>22.197789344406104</v>
      </c>
      <c r="F98" s="69">
        <f t="shared" si="22"/>
        <v>293.08817692958263</v>
      </c>
      <c r="K98" s="70">
        <v>44.777999999999999</v>
      </c>
      <c r="P98" s="70">
        <v>1.3664000000000001</v>
      </c>
      <c r="Q98" s="70">
        <v>44.084499999999998</v>
      </c>
      <c r="R98" s="71">
        <v>40.776200000000003</v>
      </c>
      <c r="S98" s="71">
        <f t="shared" si="26"/>
        <v>31.661981892441727</v>
      </c>
      <c r="X98" s="72"/>
      <c r="Y98" s="73">
        <v>1010</v>
      </c>
      <c r="Z98" s="73"/>
      <c r="AA98" s="72">
        <f t="shared" ref="AA98:AA105" si="30" xml:space="preserve"> 2.7578*F98 + 196.43</f>
        <v>1004.708574336403</v>
      </c>
      <c r="AB98" s="72"/>
      <c r="AC98" s="72"/>
      <c r="AD98" s="72"/>
      <c r="AE98" s="72"/>
      <c r="AF98" s="72"/>
      <c r="AH98" s="74">
        <v>6.21</v>
      </c>
      <c r="AI98" s="96">
        <v>211.75215574717751</v>
      </c>
      <c r="AJ98" s="96">
        <v>143.16881531772066</v>
      </c>
      <c r="AK98" s="96">
        <v>18.316860635124858</v>
      </c>
      <c r="AL98" s="96">
        <f t="shared" si="7"/>
        <v>68.583340429456854</v>
      </c>
      <c r="AM98" s="70">
        <v>45.298499999999997</v>
      </c>
      <c r="AO98" s="70">
        <v>5.6500000000000002E-2</v>
      </c>
      <c r="AP98" s="70">
        <v>6.0259</v>
      </c>
      <c r="AQ98" s="70">
        <v>3.3654999999999999</v>
      </c>
      <c r="AR98" s="71">
        <v>160.05340000000001</v>
      </c>
      <c r="AW98" s="72"/>
      <c r="AX98" s="75">
        <v>300</v>
      </c>
      <c r="AY98" s="75"/>
      <c r="AZ98" s="75">
        <f xml:space="preserve"> 3.2049*AL98 + 158.88</f>
        <v>378.68274774236625</v>
      </c>
      <c r="BA98" s="75"/>
      <c r="BB98" s="72">
        <v>38</v>
      </c>
      <c r="BC98" s="72"/>
      <c r="BD98" s="72"/>
      <c r="BE98" s="72"/>
      <c r="BG98" s="74">
        <v>6.72</v>
      </c>
      <c r="BH98" s="93">
        <v>206.20499599964435</v>
      </c>
      <c r="BI98" s="93">
        <v>142.07033335876116</v>
      </c>
      <c r="BJ98" s="93">
        <v>18.801099479501723</v>
      </c>
      <c r="BK98" s="88">
        <f t="shared" si="24"/>
        <v>64.134662640883192</v>
      </c>
      <c r="BL98" s="88"/>
      <c r="BM98" s="88"/>
      <c r="BN98" s="88"/>
      <c r="BO98" s="88"/>
      <c r="BP98" s="70">
        <v>52.566099999999999</v>
      </c>
      <c r="BS98" s="70">
        <v>8.4099999999999994E-2</v>
      </c>
      <c r="BT98" s="70">
        <f t="shared" si="27"/>
        <v>1.8998189999999998E-2</v>
      </c>
      <c r="BU98" s="70">
        <v>7.1566999999999998</v>
      </c>
      <c r="BV98" s="70">
        <v>3.5497000000000001</v>
      </c>
      <c r="BW98" s="71">
        <v>157.21709999999999</v>
      </c>
      <c r="BX98" s="71">
        <f t="shared" si="28"/>
        <v>122.07623499448697</v>
      </c>
      <c r="CC98" s="72"/>
      <c r="CD98" s="72">
        <v>340</v>
      </c>
      <c r="CE98" s="72"/>
      <c r="CF98" s="72">
        <f t="shared" ref="CF98:CF115" si="31" xml:space="preserve"> 3.2275*BK98 + 149.91</f>
        <v>356.90462367345049</v>
      </c>
      <c r="CG98" s="72">
        <v>40</v>
      </c>
      <c r="CH98" s="72"/>
      <c r="CI98" s="72"/>
      <c r="CJ98" s="72"/>
      <c r="CL98" s="74">
        <v>6.69</v>
      </c>
      <c r="CM98" s="69"/>
      <c r="CN98" s="69"/>
      <c r="CO98" s="69"/>
      <c r="CP98" s="69"/>
      <c r="CQ98" s="76"/>
      <c r="CR98" s="76"/>
      <c r="CS98" s="177"/>
      <c r="CT98" s="70"/>
      <c r="CU98" s="76"/>
      <c r="CV98" s="77"/>
      <c r="CW98" s="77"/>
      <c r="CX98" s="77"/>
      <c r="CY98" s="77"/>
      <c r="CZ98" s="77"/>
      <c r="DA98" s="66"/>
      <c r="DB98" s="66"/>
      <c r="DC98" s="66"/>
      <c r="DD98" s="66"/>
      <c r="DE98" s="66"/>
      <c r="DF98" s="66"/>
      <c r="DG98" s="66"/>
      <c r="DH98" s="66"/>
      <c r="DI98" s="168"/>
      <c r="DJ98" s="67"/>
      <c r="DK98" s="69"/>
      <c r="DL98" s="69"/>
      <c r="DM98" s="69"/>
      <c r="DN98" s="69"/>
      <c r="DO98" s="69"/>
      <c r="DP98" s="69"/>
      <c r="DQ98" s="69"/>
      <c r="DR98" s="69"/>
      <c r="DS98" s="70"/>
      <c r="DT98" s="70"/>
      <c r="DU98" s="70"/>
      <c r="DV98" s="177"/>
      <c r="DW98" s="177"/>
      <c r="DX98" s="70"/>
      <c r="DY98" s="70"/>
      <c r="DZ98" s="71"/>
      <c r="EA98" s="71"/>
      <c r="EB98" s="180"/>
      <c r="EC98" s="180"/>
      <c r="ED98" s="71"/>
      <c r="EE98" s="180"/>
      <c r="EF98" s="66"/>
      <c r="EG98" s="66"/>
      <c r="EH98" s="79"/>
      <c r="EI98" s="66"/>
      <c r="EJ98" s="79"/>
      <c r="EK98" s="66"/>
      <c r="EL98" s="168"/>
      <c r="EM98" s="67"/>
      <c r="EN98" s="78">
        <f t="shared" ref="EN98:EN134" si="32">(C98-BH98)/C98*100</f>
        <v>35.566666666666677</v>
      </c>
      <c r="EO98" s="78">
        <f t="shared" ref="EO98:EO134" si="33">(D98-BI98)/D98*100</f>
        <v>-427.35304111450904</v>
      </c>
      <c r="EP98" s="78">
        <f t="shared" ref="EP98:EP134" si="34">(E98-BJ98)/E98*100</f>
        <v>15.301928548846039</v>
      </c>
      <c r="EQ98" s="78">
        <f t="shared" ref="EQ98:EQ134" si="35">(F98-BK98)/F98*100</f>
        <v>78.117622036902503</v>
      </c>
      <c r="ER98" s="79">
        <f t="shared" ref="ER98:ER115" si="36">(AA98-CF98)/AA98*100</f>
        <v>64.476801254614415</v>
      </c>
      <c r="ES98" s="66"/>
      <c r="ET98" s="66"/>
      <c r="EU98" s="66"/>
      <c r="EV98" s="79"/>
      <c r="EW98" s="79"/>
      <c r="EX98" s="66"/>
      <c r="EY98" s="66"/>
      <c r="EZ98" s="66"/>
      <c r="FA98" s="66"/>
      <c r="FB98" s="79"/>
    </row>
    <row r="99" spans="1:158" ht="16.5" hidden="1" customHeight="1" x14ac:dyDescent="0.3">
      <c r="A99" s="86">
        <v>44704</v>
      </c>
      <c r="B99" s="106">
        <f t="shared" si="29"/>
        <v>5</v>
      </c>
      <c r="C99" s="96">
        <v>306.97674418604657</v>
      </c>
      <c r="D99" s="93">
        <v>48.90122600046265</v>
      </c>
      <c r="E99" s="93">
        <v>20.53355989804588</v>
      </c>
      <c r="F99" s="69">
        <f t="shared" si="22"/>
        <v>258.07551818558392</v>
      </c>
      <c r="N99" s="70">
        <v>8.2000000000000007E-3</v>
      </c>
      <c r="O99" s="70">
        <f t="shared" ref="O99:O110" si="37">N99*0.2259</f>
        <v>1.85238E-3</v>
      </c>
      <c r="P99" s="70">
        <v>1.2841</v>
      </c>
      <c r="X99" s="72"/>
      <c r="Y99" s="117"/>
      <c r="Z99" s="117"/>
      <c r="AA99" s="101">
        <f t="shared" si="30"/>
        <v>908.15066405220341</v>
      </c>
      <c r="AB99" s="72"/>
      <c r="AC99" s="72"/>
      <c r="AD99" s="72"/>
      <c r="AE99" s="72"/>
      <c r="AF99" s="72"/>
      <c r="AH99" s="74">
        <v>6.87</v>
      </c>
      <c r="AI99" s="96">
        <v>173.5396447537081</v>
      </c>
      <c r="AJ99" s="96">
        <v>107.05528568123989</v>
      </c>
      <c r="AK99" s="96">
        <v>14.562446898895498</v>
      </c>
      <c r="AL99" s="96">
        <f t="shared" si="7"/>
        <v>66.484359072468209</v>
      </c>
      <c r="AO99" s="70">
        <v>7.9000000000000008E-3</v>
      </c>
      <c r="AW99" s="72"/>
      <c r="AX99" s="75">
        <f>51*5</f>
        <v>255</v>
      </c>
      <c r="AY99" s="75"/>
      <c r="AZ99" s="75">
        <f t="shared" ref="AZ99:AZ105" si="38" xml:space="preserve"> 3.2049*AL99 + 158.88</f>
        <v>371.95572239135333</v>
      </c>
      <c r="BA99" s="75"/>
      <c r="BB99" s="72"/>
      <c r="BC99" s="72"/>
      <c r="BD99" s="72"/>
      <c r="BE99" s="72"/>
      <c r="BG99" s="74">
        <v>6.74</v>
      </c>
      <c r="BH99" s="93">
        <v>182.6588536898004</v>
      </c>
      <c r="BI99" s="93">
        <v>108.48947490168865</v>
      </c>
      <c r="BJ99" s="93">
        <v>13.549702633814784</v>
      </c>
      <c r="BK99" s="88">
        <f t="shared" si="24"/>
        <v>74.169378788111743</v>
      </c>
      <c r="BL99" s="88"/>
      <c r="BM99" s="88"/>
      <c r="BN99" s="88"/>
      <c r="BO99" s="88"/>
      <c r="BS99" s="70">
        <v>2.4799999999999999E-2</v>
      </c>
      <c r="BT99" s="70">
        <f t="shared" si="27"/>
        <v>5.6023199999999992E-3</v>
      </c>
      <c r="CC99" s="72"/>
      <c r="CD99" s="101"/>
      <c r="CE99" s="101"/>
      <c r="CF99" s="101">
        <f t="shared" si="31"/>
        <v>389.29167003863063</v>
      </c>
      <c r="CG99" s="72"/>
      <c r="CH99" s="72"/>
      <c r="CI99" s="72"/>
      <c r="CJ99" s="72"/>
      <c r="CL99" s="74">
        <v>6.74</v>
      </c>
      <c r="CM99" s="69"/>
      <c r="CN99" s="69"/>
      <c r="CO99" s="69"/>
      <c r="CP99" s="69"/>
      <c r="CQ99" s="76"/>
      <c r="CR99" s="76"/>
      <c r="CS99" s="177"/>
      <c r="CT99" s="70"/>
      <c r="CU99" s="76"/>
      <c r="CV99" s="77"/>
      <c r="CW99" s="77"/>
      <c r="CX99" s="77"/>
      <c r="CY99" s="77"/>
      <c r="CZ99" s="77"/>
      <c r="DA99" s="66"/>
      <c r="DB99" s="66"/>
      <c r="DC99" s="66"/>
      <c r="DD99" s="66"/>
      <c r="DE99" s="66"/>
      <c r="DF99" s="66"/>
      <c r="DG99" s="66"/>
      <c r="DH99" s="66"/>
      <c r="DI99" s="168"/>
      <c r="DJ99" s="67"/>
      <c r="DK99" s="69"/>
      <c r="DL99" s="69"/>
      <c r="DM99" s="69"/>
      <c r="DN99" s="69"/>
      <c r="DO99" s="69"/>
      <c r="DP99" s="69"/>
      <c r="DQ99" s="69"/>
      <c r="DR99" s="69"/>
      <c r="DS99" s="70"/>
      <c r="DT99" s="70"/>
      <c r="DU99" s="70"/>
      <c r="DV99" s="177"/>
      <c r="DW99" s="177"/>
      <c r="DX99" s="70"/>
      <c r="DY99" s="70"/>
      <c r="DZ99" s="71"/>
      <c r="EA99" s="71"/>
      <c r="EB99" s="180"/>
      <c r="EC99" s="180"/>
      <c r="ED99" s="71"/>
      <c r="EE99" s="180"/>
      <c r="EF99" s="66"/>
      <c r="EG99" s="66"/>
      <c r="EH99" s="79"/>
      <c r="EI99" s="66"/>
      <c r="EJ99" s="79"/>
      <c r="EK99" s="66"/>
      <c r="EL99" s="168"/>
      <c r="EM99" s="67"/>
      <c r="EN99" s="78">
        <f t="shared" si="32"/>
        <v>40.497494631352914</v>
      </c>
      <c r="EO99" s="78">
        <f t="shared" si="33"/>
        <v>-121.85430463576157</v>
      </c>
      <c r="EP99" s="78">
        <f t="shared" si="34"/>
        <v>34.011916583912608</v>
      </c>
      <c r="EQ99" s="78">
        <f t="shared" si="35"/>
        <v>71.260590965945084</v>
      </c>
      <c r="ER99" s="79">
        <f t="shared" si="36"/>
        <v>57.133580864039004</v>
      </c>
      <c r="ES99" s="66"/>
      <c r="ET99" s="66"/>
      <c r="EU99" s="66"/>
      <c r="EV99" s="79"/>
      <c r="EW99" s="79"/>
      <c r="EX99" s="66"/>
      <c r="EY99" s="66"/>
      <c r="EZ99" s="66"/>
      <c r="FA99" s="66"/>
      <c r="FB99" s="79"/>
    </row>
    <row r="100" spans="1:158" ht="16.95" hidden="1" customHeight="1" x14ac:dyDescent="0.3">
      <c r="A100" s="86">
        <v>44705</v>
      </c>
      <c r="B100" s="106">
        <f t="shared" si="29"/>
        <v>6</v>
      </c>
      <c r="C100" s="96">
        <v>282.69547701886103</v>
      </c>
      <c r="D100" s="93">
        <v>19.181124219292162</v>
      </c>
      <c r="E100" s="93">
        <v>21.410365335598982</v>
      </c>
      <c r="F100" s="69">
        <f t="shared" si="22"/>
        <v>263.51435279956888</v>
      </c>
      <c r="N100" s="70">
        <v>8.0600000000000005E-2</v>
      </c>
      <c r="O100" s="70">
        <f t="shared" si="37"/>
        <v>1.8207540000000001E-2</v>
      </c>
      <c r="X100" s="72"/>
      <c r="Y100" s="117"/>
      <c r="Z100" s="117"/>
      <c r="AA100" s="101">
        <f t="shared" si="30"/>
        <v>923.14988215065114</v>
      </c>
      <c r="AB100" s="72"/>
      <c r="AC100" s="72"/>
      <c r="AD100" s="72"/>
      <c r="AE100" s="72"/>
      <c r="AF100" s="72"/>
      <c r="AH100" s="74">
        <v>5.56</v>
      </c>
      <c r="AI100" s="96">
        <v>126.73503021424648</v>
      </c>
      <c r="AJ100" s="96">
        <v>105.89868147120056</v>
      </c>
      <c r="AK100" s="96">
        <v>13.355989804587935</v>
      </c>
      <c r="AL100" s="96">
        <f t="shared" si="7"/>
        <v>20.836348743045917</v>
      </c>
      <c r="AO100" s="70">
        <v>2.4199999999999999E-2</v>
      </c>
      <c r="AW100" s="72"/>
      <c r="AX100" s="75">
        <v>220</v>
      </c>
      <c r="AY100" s="75"/>
      <c r="AZ100" s="75">
        <f t="shared" si="38"/>
        <v>225.65841408658787</v>
      </c>
      <c r="BA100" s="75"/>
      <c r="BB100" s="72"/>
      <c r="BC100" s="72"/>
      <c r="BD100" s="72"/>
      <c r="BE100" s="72"/>
      <c r="BG100" s="74">
        <v>6.81</v>
      </c>
      <c r="BH100" s="93">
        <v>135.24995422083867</v>
      </c>
      <c r="BI100" s="93">
        <v>99.606754568586652</v>
      </c>
      <c r="BJ100" s="93">
        <v>12.547153780798642</v>
      </c>
      <c r="BK100" s="88">
        <f t="shared" si="24"/>
        <v>35.643199652252022</v>
      </c>
      <c r="BL100" s="88"/>
      <c r="BM100" s="88"/>
      <c r="BN100" s="88"/>
      <c r="BO100" s="88"/>
      <c r="BS100" s="70">
        <v>3.3300000000000003E-2</v>
      </c>
      <c r="BT100" s="70">
        <f t="shared" si="27"/>
        <v>7.5224700000000007E-3</v>
      </c>
      <c r="CC100" s="72"/>
      <c r="CD100" s="72">
        <v>290</v>
      </c>
      <c r="CE100" s="72"/>
      <c r="CF100" s="72">
        <f t="shared" si="31"/>
        <v>264.94842687764339</v>
      </c>
      <c r="CG100" s="72"/>
      <c r="CH100" s="72"/>
      <c r="CI100" s="72"/>
      <c r="CJ100" s="72"/>
      <c r="CL100" s="74">
        <v>6.76</v>
      </c>
      <c r="CM100" s="69"/>
      <c r="CN100" s="69"/>
      <c r="CO100" s="69"/>
      <c r="CP100" s="69"/>
      <c r="CQ100" s="76"/>
      <c r="CR100" s="76"/>
      <c r="CS100" s="177"/>
      <c r="CT100" s="70"/>
      <c r="CU100" s="76"/>
      <c r="CV100" s="77"/>
      <c r="CW100" s="77"/>
      <c r="CX100" s="77"/>
      <c r="CY100" s="77"/>
      <c r="CZ100" s="77"/>
      <c r="DA100" s="66"/>
      <c r="DB100" s="66"/>
      <c r="DC100" s="66"/>
      <c r="DD100" s="66"/>
      <c r="DE100" s="66"/>
      <c r="DF100" s="66"/>
      <c r="DG100" s="66"/>
      <c r="DH100" s="66"/>
      <c r="DI100" s="168"/>
      <c r="DJ100" s="67"/>
      <c r="DK100" s="69"/>
      <c r="DL100" s="69"/>
      <c r="DM100" s="69"/>
      <c r="DN100" s="69"/>
      <c r="DO100" s="69"/>
      <c r="DP100" s="69"/>
      <c r="DQ100" s="69"/>
      <c r="DR100" s="69"/>
      <c r="DS100" s="70"/>
      <c r="DT100" s="70"/>
      <c r="DU100" s="70"/>
      <c r="DV100" s="177"/>
      <c r="DW100" s="177"/>
      <c r="DX100" s="70"/>
      <c r="DY100" s="70"/>
      <c r="DZ100" s="71"/>
      <c r="EA100" s="71"/>
      <c r="EB100" s="180"/>
      <c r="EC100" s="180"/>
      <c r="ED100" s="71"/>
      <c r="EE100" s="180"/>
      <c r="EF100" s="66"/>
      <c r="EG100" s="66"/>
      <c r="EH100" s="79"/>
      <c r="EI100" s="66"/>
      <c r="EJ100" s="79"/>
      <c r="EK100" s="66"/>
      <c r="EL100" s="168"/>
      <c r="EM100" s="67"/>
      <c r="EN100" s="78">
        <f t="shared" si="32"/>
        <v>52.157015157403805</v>
      </c>
      <c r="EO100" s="78">
        <f t="shared" si="33"/>
        <v>-419.29570670525811</v>
      </c>
      <c r="EP100" s="78">
        <f t="shared" si="34"/>
        <v>41.396825396825399</v>
      </c>
      <c r="EQ100" s="78">
        <f t="shared" si="35"/>
        <v>86.473905776448348</v>
      </c>
      <c r="ER100" s="79">
        <f t="shared" si="36"/>
        <v>71.299522211886512</v>
      </c>
      <c r="ES100" s="66"/>
      <c r="ET100" s="66"/>
      <c r="EU100" s="66"/>
      <c r="EV100" s="79"/>
      <c r="EW100" s="79"/>
      <c r="EX100" s="66"/>
      <c r="EY100" s="66"/>
      <c r="EZ100" s="66"/>
      <c r="FA100" s="66"/>
      <c r="FB100" s="79"/>
    </row>
    <row r="101" spans="1:158" hidden="1" x14ac:dyDescent="0.3">
      <c r="A101" s="86">
        <v>44706</v>
      </c>
      <c r="B101" s="106">
        <f t="shared" si="29"/>
        <v>7</v>
      </c>
      <c r="C101" s="96">
        <v>252.48123054385644</v>
      </c>
      <c r="D101" s="93">
        <v>31.237566504742077</v>
      </c>
      <c r="E101" s="93">
        <v>21.947323704333051</v>
      </c>
      <c r="F101" s="69">
        <f t="shared" si="22"/>
        <v>221.24366403911438</v>
      </c>
      <c r="N101" s="70">
        <v>2.35E-2</v>
      </c>
      <c r="O101" s="70">
        <f t="shared" si="37"/>
        <v>5.3086499999999998E-3</v>
      </c>
      <c r="P101" s="70">
        <v>3.7103999999999999</v>
      </c>
      <c r="X101" s="72"/>
      <c r="Y101" s="73">
        <v>810</v>
      </c>
      <c r="Z101" s="73"/>
      <c r="AA101" s="72">
        <f t="shared" si="30"/>
        <v>806.57577668706972</v>
      </c>
      <c r="AB101" s="72"/>
      <c r="AC101" s="72"/>
      <c r="AD101" s="72"/>
      <c r="AE101" s="72"/>
      <c r="AF101" s="72"/>
      <c r="AH101" s="74">
        <v>6.24</v>
      </c>
      <c r="AI101" s="97">
        <v>137.88683391320271</v>
      </c>
      <c r="AJ101" s="97">
        <v>112.69951422623178</v>
      </c>
      <c r="AK101" s="97">
        <v>13.291418861512319</v>
      </c>
      <c r="AL101" s="96">
        <f t="shared" si="7"/>
        <v>25.187319686970923</v>
      </c>
      <c r="AO101" s="70">
        <v>2.01E-2</v>
      </c>
      <c r="AW101" s="72"/>
      <c r="AX101" s="75">
        <f>43*5</f>
        <v>215</v>
      </c>
      <c r="AY101" s="75"/>
      <c r="AZ101" s="75">
        <f t="shared" si="38"/>
        <v>239.6028408647731</v>
      </c>
      <c r="BA101" s="75"/>
      <c r="BB101" s="72"/>
      <c r="BC101" s="72"/>
      <c r="BD101" s="72"/>
      <c r="BE101" s="72"/>
      <c r="BG101" s="74">
        <v>6.93</v>
      </c>
      <c r="BH101" s="93">
        <v>138.76579381065741</v>
      </c>
      <c r="BI101" s="93">
        <v>107.74924820726348</v>
      </c>
      <c r="BJ101" s="93">
        <v>14.779949022939679</v>
      </c>
      <c r="BK101" s="88">
        <f t="shared" si="24"/>
        <v>31.016545603393936</v>
      </c>
      <c r="BL101" s="88"/>
      <c r="BM101" s="88"/>
      <c r="BN101" s="88"/>
      <c r="BO101" s="88"/>
      <c r="BS101" s="70">
        <v>3.2099999999999997E-2</v>
      </c>
      <c r="BT101" s="70">
        <f t="shared" si="27"/>
        <v>7.2513899999999991E-3</v>
      </c>
      <c r="CC101" s="72"/>
      <c r="CD101" s="72">
        <f>48*5</f>
        <v>240</v>
      </c>
      <c r="CE101" s="72"/>
      <c r="CF101" s="72">
        <f t="shared" si="31"/>
        <v>250.01590093495395</v>
      </c>
      <c r="CG101" s="72"/>
      <c r="CH101" s="72"/>
      <c r="CI101" s="72"/>
      <c r="CJ101" s="72"/>
      <c r="CL101" s="74">
        <v>6.94</v>
      </c>
      <c r="CM101" s="69"/>
      <c r="CN101" s="69"/>
      <c r="CO101" s="69"/>
      <c r="CP101" s="69"/>
      <c r="CQ101" s="76"/>
      <c r="CR101" s="76"/>
      <c r="CS101" s="177"/>
      <c r="CT101" s="70"/>
      <c r="CU101" s="76"/>
      <c r="CV101" s="77"/>
      <c r="CW101" s="77"/>
      <c r="CX101" s="77"/>
      <c r="CY101" s="77"/>
      <c r="CZ101" s="77"/>
      <c r="DA101" s="66"/>
      <c r="DB101" s="66"/>
      <c r="DC101" s="66"/>
      <c r="DD101" s="66"/>
      <c r="DE101" s="66"/>
      <c r="DF101" s="66"/>
      <c r="DG101" s="66"/>
      <c r="DH101" s="66"/>
      <c r="DI101" s="168"/>
      <c r="DJ101" s="67"/>
      <c r="DK101" s="69"/>
      <c r="DL101" s="69"/>
      <c r="DM101" s="69"/>
      <c r="DN101" s="69"/>
      <c r="DO101" s="69"/>
      <c r="DP101" s="69"/>
      <c r="DQ101" s="69"/>
      <c r="DR101" s="69"/>
      <c r="DS101" s="70"/>
      <c r="DT101" s="70"/>
      <c r="DU101" s="70"/>
      <c r="DV101" s="177"/>
      <c r="DW101" s="177"/>
      <c r="DX101" s="70"/>
      <c r="DY101" s="70"/>
      <c r="DZ101" s="71"/>
      <c r="EA101" s="71"/>
      <c r="EB101" s="180"/>
      <c r="EC101" s="180"/>
      <c r="ED101" s="71"/>
      <c r="EE101" s="180"/>
      <c r="EF101" s="66"/>
      <c r="EG101" s="66"/>
      <c r="EH101" s="79"/>
      <c r="EI101" s="66"/>
      <c r="EJ101" s="79"/>
      <c r="EK101" s="66"/>
      <c r="EL101" s="168"/>
      <c r="EM101" s="67"/>
      <c r="EN101" s="78">
        <f t="shared" si="32"/>
        <v>45.039164490861609</v>
      </c>
      <c r="EO101" s="78">
        <f t="shared" si="33"/>
        <v>-244.93483412322274</v>
      </c>
      <c r="EP101" s="78">
        <f t="shared" si="34"/>
        <v>32.657169402291721</v>
      </c>
      <c r="EQ101" s="78">
        <f t="shared" si="35"/>
        <v>85.980820857355539</v>
      </c>
      <c r="ER101" s="79">
        <f t="shared" si="36"/>
        <v>69.002800708710893</v>
      </c>
      <c r="ES101" s="66"/>
      <c r="ET101" s="66"/>
      <c r="EU101" s="66"/>
      <c r="EV101" s="79"/>
      <c r="EW101" s="79"/>
      <c r="EX101" s="66"/>
      <c r="EY101" s="66"/>
      <c r="EZ101" s="66"/>
      <c r="FA101" s="66"/>
      <c r="FB101" s="79"/>
    </row>
    <row r="102" spans="1:158" hidden="1" x14ac:dyDescent="0.3">
      <c r="A102" s="86">
        <v>44708</v>
      </c>
      <c r="B102" s="106">
        <f t="shared" si="29"/>
        <v>9</v>
      </c>
      <c r="C102" s="96">
        <v>346.81564245810051</v>
      </c>
      <c r="D102" s="93">
        <v>50.55307348636574</v>
      </c>
      <c r="E102" s="93">
        <v>25.432240311855079</v>
      </c>
      <c r="F102" s="69">
        <f t="shared" si="22"/>
        <v>296.26256897173477</v>
      </c>
      <c r="K102" s="70">
        <v>48.029899999999998</v>
      </c>
      <c r="N102" s="70">
        <v>2.98E-2</v>
      </c>
      <c r="O102" s="70">
        <f t="shared" si="37"/>
        <v>6.7318199999999995E-3</v>
      </c>
      <c r="P102" s="70">
        <v>0.75980000000000003</v>
      </c>
      <c r="X102" s="72"/>
      <c r="Y102" s="73"/>
      <c r="Z102" s="73"/>
      <c r="AA102" s="72">
        <f t="shared" si="30"/>
        <v>1013.4629127102501</v>
      </c>
      <c r="AB102" s="72"/>
      <c r="AC102" s="72"/>
      <c r="AD102" s="72"/>
      <c r="AE102" s="72"/>
      <c r="AF102" s="72"/>
      <c r="AH102" s="74">
        <v>6.15</v>
      </c>
      <c r="AI102" s="97">
        <v>137.26256983240222</v>
      </c>
      <c r="AJ102" s="97">
        <v>124.78816823293791</v>
      </c>
      <c r="AK102" s="97">
        <v>15.175418481999541</v>
      </c>
      <c r="AL102" s="96">
        <f t="shared" ref="AL102:AL117" si="39">AI102-AJ102</f>
        <v>12.474401599464315</v>
      </c>
      <c r="AO102" s="70">
        <v>9.4899999999999998E-2</v>
      </c>
      <c r="AP102" s="70">
        <v>3.4295</v>
      </c>
      <c r="AW102" s="72"/>
      <c r="AX102" s="75"/>
      <c r="AY102" s="75"/>
      <c r="AZ102" s="75">
        <f t="shared" si="38"/>
        <v>198.85920968612317</v>
      </c>
      <c r="BA102" s="75"/>
      <c r="BB102" s="72"/>
      <c r="BC102" s="72"/>
      <c r="BD102" s="72"/>
      <c r="BE102" s="72"/>
      <c r="BG102" s="74">
        <v>6.88</v>
      </c>
      <c r="BH102" s="93">
        <v>146.14525139664804</v>
      </c>
      <c r="BI102" s="93">
        <v>120.35125558465566</v>
      </c>
      <c r="BJ102" s="93">
        <v>15.175418481999541</v>
      </c>
      <c r="BK102" s="88">
        <f t="shared" si="24"/>
        <v>25.793995811992374</v>
      </c>
      <c r="BL102" s="88"/>
      <c r="BM102" s="88"/>
      <c r="BN102" s="88"/>
      <c r="BO102" s="88"/>
      <c r="BP102" s="70">
        <v>42.5075</v>
      </c>
      <c r="BS102" s="70">
        <v>0.14849999999999999</v>
      </c>
      <c r="BT102" s="70">
        <f t="shared" si="27"/>
        <v>3.3546149999999997E-2</v>
      </c>
      <c r="BU102" s="70">
        <v>10.217000000000001</v>
      </c>
      <c r="CC102" s="72"/>
      <c r="CD102" s="72"/>
      <c r="CE102" s="72"/>
      <c r="CF102" s="72">
        <f t="shared" si="31"/>
        <v>233.16012148320539</v>
      </c>
      <c r="CG102" s="72"/>
      <c r="CH102" s="72"/>
      <c r="CI102" s="72"/>
      <c r="CJ102" s="72"/>
      <c r="CL102" s="74">
        <v>6.94</v>
      </c>
      <c r="CM102" s="69"/>
      <c r="CN102" s="69"/>
      <c r="CO102" s="69"/>
      <c r="CP102" s="69"/>
      <c r="CQ102" s="76"/>
      <c r="CR102" s="76"/>
      <c r="CS102" s="177"/>
      <c r="CT102" s="70"/>
      <c r="CU102" s="76"/>
      <c r="CV102" s="77"/>
      <c r="CW102" s="77"/>
      <c r="CX102" s="77"/>
      <c r="CY102" s="77"/>
      <c r="CZ102" s="77"/>
      <c r="DA102" s="66"/>
      <c r="DB102" s="66"/>
      <c r="DC102" s="66"/>
      <c r="DD102" s="66"/>
      <c r="DE102" s="66"/>
      <c r="DF102" s="66"/>
      <c r="DG102" s="66"/>
      <c r="DH102" s="66"/>
      <c r="DI102" s="168"/>
      <c r="DJ102" s="67"/>
      <c r="DK102" s="69"/>
      <c r="DL102" s="69"/>
      <c r="DM102" s="69"/>
      <c r="DN102" s="69"/>
      <c r="DO102" s="69"/>
      <c r="DP102" s="69"/>
      <c r="DQ102" s="69"/>
      <c r="DR102" s="69"/>
      <c r="DS102" s="70"/>
      <c r="DT102" s="70"/>
      <c r="DU102" s="70"/>
      <c r="DV102" s="177"/>
      <c r="DW102" s="177"/>
      <c r="DX102" s="70"/>
      <c r="DY102" s="70"/>
      <c r="DZ102" s="71"/>
      <c r="EA102" s="71"/>
      <c r="EB102" s="180"/>
      <c r="EC102" s="180"/>
      <c r="ED102" s="71"/>
      <c r="EE102" s="180"/>
      <c r="EF102" s="66"/>
      <c r="EG102" s="66"/>
      <c r="EH102" s="79"/>
      <c r="EI102" s="66"/>
      <c r="EJ102" s="79"/>
      <c r="EK102" s="66"/>
      <c r="EL102" s="168"/>
      <c r="EM102" s="67"/>
      <c r="EN102" s="78">
        <f t="shared" si="32"/>
        <v>57.860824742268036</v>
      </c>
      <c r="EO102" s="78">
        <f t="shared" si="33"/>
        <v>-138.06911684037294</v>
      </c>
      <c r="EP102" s="78">
        <f t="shared" si="34"/>
        <v>40.329997295104135</v>
      </c>
      <c r="EQ102" s="78">
        <f t="shared" si="35"/>
        <v>91.293535359016857</v>
      </c>
      <c r="ER102" s="79">
        <f t="shared" si="36"/>
        <v>76.993719399195612</v>
      </c>
      <c r="ES102" s="66"/>
      <c r="ET102" s="66"/>
      <c r="EU102" s="66"/>
      <c r="EV102" s="79"/>
      <c r="EW102" s="79"/>
      <c r="EX102" s="66"/>
      <c r="EY102" s="66"/>
      <c r="EZ102" s="66"/>
      <c r="FA102" s="66"/>
      <c r="FB102" s="79"/>
    </row>
    <row r="103" spans="1:158" hidden="1" x14ac:dyDescent="0.3">
      <c r="A103" s="86">
        <v>44711</v>
      </c>
      <c r="B103" s="106">
        <f t="shared" si="29"/>
        <v>12</v>
      </c>
      <c r="C103" s="96">
        <v>312.40223463687153</v>
      </c>
      <c r="D103" s="93">
        <v>18.274533970112465</v>
      </c>
      <c r="E103" s="93">
        <v>27.55789956432011</v>
      </c>
      <c r="F103" s="69">
        <f t="shared" si="22"/>
        <v>294.12770066675904</v>
      </c>
      <c r="K103" s="70">
        <v>32.406500000000001</v>
      </c>
      <c r="N103" s="70">
        <v>0.32419999999999999</v>
      </c>
      <c r="O103" s="70">
        <f t="shared" si="37"/>
        <v>7.3236779999999987E-2</v>
      </c>
      <c r="P103" s="70">
        <v>4.0610999999999997</v>
      </c>
      <c r="X103" s="72"/>
      <c r="Y103" s="73"/>
      <c r="Z103" s="73"/>
      <c r="AA103" s="72">
        <f t="shared" si="30"/>
        <v>1007.5753728987881</v>
      </c>
      <c r="AB103" s="72"/>
      <c r="AC103" s="72"/>
      <c r="AD103" s="72"/>
      <c r="AE103" s="72"/>
      <c r="AF103" s="72"/>
      <c r="AH103" s="74">
        <v>4.53</v>
      </c>
      <c r="AI103" s="97">
        <v>157.15083798882682</v>
      </c>
      <c r="AJ103" s="97">
        <v>117.57818517947928</v>
      </c>
      <c r="AK103" s="97">
        <v>17.4283421233662</v>
      </c>
      <c r="AL103" s="96">
        <f t="shared" si="39"/>
        <v>39.572652809347545</v>
      </c>
      <c r="AO103" s="70">
        <v>5.3999999999999999E-2</v>
      </c>
      <c r="AP103" s="70">
        <v>16.6663</v>
      </c>
      <c r="AW103" s="72"/>
      <c r="AX103" s="75"/>
      <c r="AY103" s="75"/>
      <c r="AZ103" s="75">
        <f t="shared" si="38"/>
        <v>285.70639498867797</v>
      </c>
      <c r="BA103" s="75"/>
      <c r="BB103" s="72"/>
      <c r="BC103" s="72"/>
      <c r="BD103" s="72"/>
      <c r="BE103" s="72"/>
      <c r="BG103" s="74">
        <v>6.73</v>
      </c>
      <c r="BH103" s="93">
        <v>164.02234636871509</v>
      </c>
      <c r="BI103" s="93">
        <v>114.85133261438916</v>
      </c>
      <c r="BJ103" s="93">
        <v>17.768860353130016</v>
      </c>
      <c r="BK103" s="88">
        <f t="shared" si="24"/>
        <v>49.171013754325926</v>
      </c>
      <c r="BL103" s="88"/>
      <c r="BM103" s="88"/>
      <c r="BN103" s="88"/>
      <c r="BO103" s="88"/>
      <c r="BS103" s="70">
        <v>0.16189999999999999</v>
      </c>
      <c r="BT103" s="70">
        <f t="shared" si="27"/>
        <v>3.6573209999999995E-2</v>
      </c>
      <c r="BU103" s="70">
        <v>18.601900000000001</v>
      </c>
      <c r="CC103" s="72"/>
      <c r="CD103" s="72"/>
      <c r="CE103" s="72"/>
      <c r="CF103" s="72">
        <f t="shared" si="31"/>
        <v>308.60944689208691</v>
      </c>
      <c r="CG103" s="72"/>
      <c r="CH103" s="72"/>
      <c r="CI103" s="72"/>
      <c r="CJ103" s="72"/>
      <c r="CL103" s="74">
        <v>6.67</v>
      </c>
      <c r="CM103" s="69"/>
      <c r="CN103" s="69"/>
      <c r="CO103" s="69"/>
      <c r="CP103" s="69"/>
      <c r="CQ103" s="76"/>
      <c r="CR103" s="76"/>
      <c r="CS103" s="177"/>
      <c r="CT103" s="70"/>
      <c r="CU103" s="76"/>
      <c r="CV103" s="77"/>
      <c r="CW103" s="77"/>
      <c r="CX103" s="77"/>
      <c r="CY103" s="77"/>
      <c r="CZ103" s="77"/>
      <c r="DA103" s="66"/>
      <c r="DB103" s="66"/>
      <c r="DC103" s="66"/>
      <c r="DD103" s="66"/>
      <c r="DE103" s="66"/>
      <c r="DF103" s="66"/>
      <c r="DG103" s="66"/>
      <c r="DH103" s="66"/>
      <c r="DI103" s="168"/>
      <c r="DJ103" s="67"/>
      <c r="DK103" s="69"/>
      <c r="DL103" s="69"/>
      <c r="DM103" s="69"/>
      <c r="DN103" s="69"/>
      <c r="DO103" s="69"/>
      <c r="DP103" s="69"/>
      <c r="DQ103" s="69"/>
      <c r="DR103" s="69"/>
      <c r="DS103" s="70"/>
      <c r="DT103" s="70"/>
      <c r="DU103" s="70"/>
      <c r="DV103" s="177"/>
      <c r="DW103" s="177"/>
      <c r="DX103" s="70"/>
      <c r="DY103" s="70"/>
      <c r="DZ103" s="71"/>
      <c r="EA103" s="71"/>
      <c r="EB103" s="180"/>
      <c r="EC103" s="180"/>
      <c r="ED103" s="71"/>
      <c r="EE103" s="180"/>
      <c r="EF103" s="66"/>
      <c r="EG103" s="66"/>
      <c r="EH103" s="79"/>
      <c r="EI103" s="66"/>
      <c r="EJ103" s="79"/>
      <c r="EK103" s="66"/>
      <c r="EL103" s="168"/>
      <c r="EM103" s="67"/>
      <c r="EN103" s="78">
        <f t="shared" si="32"/>
        <v>47.4964234620887</v>
      </c>
      <c r="EO103" s="78">
        <f t="shared" si="33"/>
        <v>-528.47749114820431</v>
      </c>
      <c r="EP103" s="78">
        <f t="shared" si="34"/>
        <v>35.521717423864203</v>
      </c>
      <c r="EQ103" s="78">
        <f t="shared" si="35"/>
        <v>83.282426768080668</v>
      </c>
      <c r="ER103" s="79">
        <f t="shared" si="36"/>
        <v>69.371080795254116</v>
      </c>
      <c r="ES103" s="66"/>
      <c r="ET103" s="66"/>
      <c r="EU103" s="66"/>
      <c r="EV103" s="79"/>
      <c r="EW103" s="79"/>
      <c r="EX103" s="66"/>
      <c r="EY103" s="66"/>
      <c r="EZ103" s="66"/>
      <c r="FA103" s="66"/>
      <c r="FB103" s="79"/>
    </row>
    <row r="104" spans="1:158" hidden="1" x14ac:dyDescent="0.3">
      <c r="A104" s="86">
        <v>44713</v>
      </c>
      <c r="B104" s="106">
        <f t="shared" si="29"/>
        <v>14</v>
      </c>
      <c r="C104" s="96">
        <v>363.36169805908787</v>
      </c>
      <c r="D104" s="93">
        <v>21.63066202090592</v>
      </c>
      <c r="E104" s="93">
        <v>23.645457717808537</v>
      </c>
      <c r="F104" s="69">
        <f t="shared" si="22"/>
        <v>341.73103603818197</v>
      </c>
      <c r="K104" s="70">
        <v>36.069499999999998</v>
      </c>
      <c r="N104" s="70">
        <v>0.28860000000000002</v>
      </c>
      <c r="O104" s="70">
        <f t="shared" si="37"/>
        <v>6.5194740000000001E-2</v>
      </c>
      <c r="P104" s="70">
        <v>9.2765000000000004</v>
      </c>
      <c r="X104" s="72"/>
      <c r="Y104" s="73"/>
      <c r="Z104" s="73"/>
      <c r="AA104" s="72">
        <f t="shared" si="30"/>
        <v>1138.8558511860983</v>
      </c>
      <c r="AB104" s="72"/>
      <c r="AC104" s="72"/>
      <c r="AD104" s="72"/>
      <c r="AE104" s="72"/>
      <c r="AF104" s="72"/>
      <c r="AH104" s="74">
        <v>4.33</v>
      </c>
      <c r="AI104" s="97">
        <v>123.56821875896355</v>
      </c>
      <c r="AJ104" s="97">
        <v>139.97677119628338</v>
      </c>
      <c r="AK104" s="97">
        <v>16.247528207514247</v>
      </c>
      <c r="AL104" s="96">
        <f t="shared" si="39"/>
        <v>-16.408552437319827</v>
      </c>
      <c r="AO104" s="70">
        <v>0.12740000000000001</v>
      </c>
      <c r="AP104" s="70">
        <v>11.647</v>
      </c>
      <c r="AW104" s="72"/>
      <c r="AX104" s="75"/>
      <c r="AY104" s="75"/>
      <c r="AZ104" s="75">
        <f t="shared" si="38"/>
        <v>106.29223029363368</v>
      </c>
      <c r="BA104" s="75"/>
      <c r="BB104" s="72"/>
      <c r="BC104" s="72"/>
      <c r="BD104" s="72"/>
      <c r="BE104" s="72"/>
      <c r="BG104" s="74">
        <v>6.8</v>
      </c>
      <c r="BH104" s="93">
        <v>133.60741944736588</v>
      </c>
      <c r="BI104" s="93">
        <v>137.51451800232286</v>
      </c>
      <c r="BJ104" s="93">
        <v>14.621379551006166</v>
      </c>
      <c r="BK104" s="88">
        <f t="shared" si="24"/>
        <v>-3.9070985549569741</v>
      </c>
      <c r="BL104" s="88"/>
      <c r="BM104" s="88"/>
      <c r="BN104" s="88"/>
      <c r="BO104" s="88"/>
      <c r="BS104" s="70">
        <v>0.1217</v>
      </c>
      <c r="BT104" s="70">
        <f t="shared" si="27"/>
        <v>2.7492030000000001E-2</v>
      </c>
      <c r="BU104" s="70">
        <v>9.8397000000000006</v>
      </c>
      <c r="CC104" s="72"/>
      <c r="CD104" s="72"/>
      <c r="CE104" s="72"/>
      <c r="CF104" s="72">
        <f t="shared" si="31"/>
        <v>137.29983941387636</v>
      </c>
      <c r="CG104" s="72"/>
      <c r="CH104" s="72"/>
      <c r="CI104" s="72"/>
      <c r="CJ104" s="72"/>
      <c r="CL104" s="74">
        <v>6.72</v>
      </c>
      <c r="CM104" s="69"/>
      <c r="CN104" s="69"/>
      <c r="CO104" s="69"/>
      <c r="CP104" s="69"/>
      <c r="CQ104" s="76"/>
      <c r="CR104" s="76"/>
      <c r="CS104" s="177"/>
      <c r="CT104" s="70"/>
      <c r="CU104" s="76"/>
      <c r="CV104" s="77"/>
      <c r="CW104" s="77"/>
      <c r="CX104" s="77"/>
      <c r="CY104" s="77"/>
      <c r="CZ104" s="77"/>
      <c r="DA104" s="66"/>
      <c r="DB104" s="66"/>
      <c r="DC104" s="66"/>
      <c r="DD104" s="66"/>
      <c r="DE104" s="66"/>
      <c r="DF104" s="66"/>
      <c r="DG104" s="66"/>
      <c r="DH104" s="66"/>
      <c r="DI104" s="168"/>
      <c r="DJ104" s="67"/>
      <c r="DK104" s="69"/>
      <c r="DL104" s="69"/>
      <c r="DM104" s="69"/>
      <c r="DN104" s="69"/>
      <c r="DO104" s="69"/>
      <c r="DP104" s="69"/>
      <c r="DQ104" s="69"/>
      <c r="DR104" s="69"/>
      <c r="DS104" s="70"/>
      <c r="DT104" s="70"/>
      <c r="DU104" s="70"/>
      <c r="DV104" s="177"/>
      <c r="DW104" s="177"/>
      <c r="DX104" s="70"/>
      <c r="DY104" s="70"/>
      <c r="DZ104" s="71"/>
      <c r="EA104" s="71"/>
      <c r="EB104" s="180"/>
      <c r="EC104" s="180"/>
      <c r="ED104" s="71"/>
      <c r="EE104" s="180"/>
      <c r="EF104" s="66"/>
      <c r="EG104" s="66"/>
      <c r="EH104" s="79"/>
      <c r="EI104" s="66"/>
      <c r="EJ104" s="79"/>
      <c r="EK104" s="66"/>
      <c r="EL104" s="168"/>
      <c r="EM104" s="67"/>
      <c r="EN104" s="78">
        <f t="shared" si="32"/>
        <v>63.230186296179355</v>
      </c>
      <c r="EO104" s="78">
        <f t="shared" si="33"/>
        <v>-535.73883161512038</v>
      </c>
      <c r="EP104" s="78">
        <f t="shared" si="34"/>
        <v>38.164108618654062</v>
      </c>
      <c r="EQ104" s="78">
        <f t="shared" si="35"/>
        <v>101.14332564002775</v>
      </c>
      <c r="ER104" s="79">
        <f t="shared" si="36"/>
        <v>87.944054616668026</v>
      </c>
      <c r="ES104" s="66"/>
      <c r="ET104" s="66"/>
      <c r="EU104" s="66"/>
      <c r="EV104" s="79"/>
      <c r="EW104" s="79"/>
      <c r="EX104" s="66"/>
      <c r="EY104" s="66"/>
      <c r="EZ104" s="66"/>
      <c r="FA104" s="66"/>
      <c r="FB104" s="79"/>
    </row>
    <row r="105" spans="1:158" s="116" customFormat="1" hidden="1" x14ac:dyDescent="0.3">
      <c r="A105" s="105">
        <v>44715</v>
      </c>
      <c r="B105" s="106">
        <f t="shared" si="29"/>
        <v>16</v>
      </c>
      <c r="C105" s="107">
        <v>267.5590400611913</v>
      </c>
      <c r="D105" s="108">
        <v>20.246225319396046</v>
      </c>
      <c r="E105" s="108">
        <v>23.359311387693381</v>
      </c>
      <c r="F105" s="109">
        <f t="shared" si="22"/>
        <v>247.31281474179525</v>
      </c>
      <c r="G105" s="109"/>
      <c r="H105" s="109"/>
      <c r="I105" s="109"/>
      <c r="J105" s="109"/>
      <c r="K105" s="109"/>
      <c r="L105" s="109"/>
      <c r="M105" s="109"/>
      <c r="N105" s="109">
        <v>7.1199999999999999E-2</v>
      </c>
      <c r="O105" s="70">
        <f t="shared" si="37"/>
        <v>1.6084080000000001E-2</v>
      </c>
      <c r="P105" s="109">
        <v>8.8484999999999996</v>
      </c>
      <c r="Q105" s="109"/>
      <c r="R105" s="109"/>
      <c r="S105" s="71"/>
      <c r="T105" s="109"/>
      <c r="U105" s="109"/>
      <c r="V105" s="109"/>
      <c r="W105" s="109"/>
      <c r="X105" s="109"/>
      <c r="Y105" s="110"/>
      <c r="Z105" s="110"/>
      <c r="AA105" s="109">
        <f t="shared" si="30"/>
        <v>878.46928049492294</v>
      </c>
      <c r="AB105" s="109"/>
      <c r="AC105" s="109"/>
      <c r="AD105" s="109"/>
      <c r="AE105" s="109"/>
      <c r="AF105" s="109"/>
      <c r="AG105" s="168"/>
      <c r="AH105" s="109">
        <v>4.68</v>
      </c>
      <c r="AI105" s="111">
        <v>124.42872167511233</v>
      </c>
      <c r="AJ105" s="111">
        <v>119.95354239256677</v>
      </c>
      <c r="AK105" s="111">
        <v>13.919972083284867</v>
      </c>
      <c r="AL105" s="107">
        <f t="shared" si="39"/>
        <v>4.4751792825455539</v>
      </c>
      <c r="AM105" s="109"/>
      <c r="AN105" s="109"/>
      <c r="AO105" s="109">
        <v>5.5899999999999998E-2</v>
      </c>
      <c r="AP105" s="109">
        <v>10.716900000000001</v>
      </c>
      <c r="AQ105" s="109"/>
      <c r="AR105" s="109"/>
      <c r="AS105" s="109"/>
      <c r="AT105" s="109"/>
      <c r="AU105" s="109"/>
      <c r="AV105" s="109"/>
      <c r="AW105" s="109"/>
      <c r="AX105" s="113"/>
      <c r="AY105" s="113"/>
      <c r="AZ105" s="113">
        <f t="shared" si="38"/>
        <v>173.22250208263023</v>
      </c>
      <c r="BA105" s="113"/>
      <c r="BB105" s="109"/>
      <c r="BC105" s="109"/>
      <c r="BD105" s="109"/>
      <c r="BE105" s="109"/>
      <c r="BF105" s="168"/>
      <c r="BG105" s="109">
        <v>6.73</v>
      </c>
      <c r="BH105" s="108">
        <v>130.33750836600058</v>
      </c>
      <c r="BI105" s="108">
        <v>119.30313588850174</v>
      </c>
      <c r="BJ105" s="108">
        <v>13.790857275793879</v>
      </c>
      <c r="BK105" s="114">
        <f t="shared" si="24"/>
        <v>11.034372477498835</v>
      </c>
      <c r="BL105" s="114"/>
      <c r="BM105" s="114"/>
      <c r="BN105" s="114"/>
      <c r="BO105" s="114"/>
      <c r="BP105" s="109"/>
      <c r="BQ105" s="109"/>
      <c r="BR105" s="109"/>
      <c r="BS105" s="109">
        <v>7.7100000000000002E-2</v>
      </c>
      <c r="BT105" s="70">
        <f t="shared" si="27"/>
        <v>1.7416890000000001E-2</v>
      </c>
      <c r="BU105" s="109">
        <v>10.161099999999999</v>
      </c>
      <c r="BV105" s="109"/>
      <c r="BW105" s="109"/>
      <c r="BX105" s="71"/>
      <c r="BY105" s="109"/>
      <c r="BZ105" s="109"/>
      <c r="CA105" s="109"/>
      <c r="CB105" s="109"/>
      <c r="CC105" s="109"/>
      <c r="CD105" s="109"/>
      <c r="CE105" s="109"/>
      <c r="CF105" s="109">
        <f t="shared" si="31"/>
        <v>185.52343717112748</v>
      </c>
      <c r="CG105" s="109"/>
      <c r="CH105" s="109"/>
      <c r="CI105" s="109"/>
      <c r="CJ105" s="109"/>
      <c r="CK105" s="168"/>
      <c r="CL105" s="109">
        <v>6.76</v>
      </c>
      <c r="CM105" s="109"/>
      <c r="CN105" s="109"/>
      <c r="CO105" s="109"/>
      <c r="CP105" s="109"/>
      <c r="CQ105" s="115"/>
      <c r="CR105" s="115"/>
      <c r="CS105" s="113"/>
      <c r="CT105" s="109"/>
      <c r="CU105" s="115"/>
      <c r="CV105" s="115"/>
      <c r="CW105" s="115"/>
      <c r="CX105" s="115"/>
      <c r="CY105" s="115"/>
      <c r="CZ105" s="115"/>
      <c r="DA105" s="115"/>
      <c r="DB105" s="115"/>
      <c r="DC105" s="115"/>
      <c r="DD105" s="115"/>
      <c r="DE105" s="115"/>
      <c r="DF105" s="115"/>
      <c r="DG105" s="115"/>
      <c r="DH105" s="115"/>
      <c r="DI105" s="168"/>
      <c r="DJ105" s="115"/>
      <c r="DK105" s="109"/>
      <c r="DL105" s="109"/>
      <c r="DM105" s="109"/>
      <c r="DN105" s="109"/>
      <c r="DO105" s="109"/>
      <c r="DP105" s="109"/>
      <c r="DQ105" s="109"/>
      <c r="DR105" s="109"/>
      <c r="DS105" s="109"/>
      <c r="DT105" s="109"/>
      <c r="DU105" s="109"/>
      <c r="DV105" s="113"/>
      <c r="DW105" s="177"/>
      <c r="DX105" s="109"/>
      <c r="DY105" s="109"/>
      <c r="DZ105" s="109"/>
      <c r="EA105" s="71"/>
      <c r="EB105" s="113"/>
      <c r="EC105" s="113"/>
      <c r="ED105" s="109"/>
      <c r="EE105" s="113"/>
      <c r="EF105" s="115"/>
      <c r="EG105" s="115"/>
      <c r="EH105" s="109"/>
      <c r="EI105" s="115"/>
      <c r="EJ105" s="109"/>
      <c r="EK105" s="115"/>
      <c r="EL105" s="168"/>
      <c r="EM105" s="115"/>
      <c r="EN105" s="109">
        <f t="shared" si="32"/>
        <v>51.286449399656945</v>
      </c>
      <c r="EO105" s="109">
        <f t="shared" si="33"/>
        <v>-489.26112895823792</v>
      </c>
      <c r="EP105" s="109">
        <f t="shared" si="34"/>
        <v>40.962055572154178</v>
      </c>
      <c r="EQ105" s="109">
        <f t="shared" si="35"/>
        <v>95.538293278890876</v>
      </c>
      <c r="ER105" s="109">
        <f t="shared" si="36"/>
        <v>78.881055798945525</v>
      </c>
      <c r="ES105" s="115"/>
      <c r="ET105" s="115"/>
      <c r="EU105" s="115"/>
      <c r="EV105" s="109"/>
      <c r="EW105" s="109"/>
      <c r="EX105" s="115"/>
      <c r="EY105" s="115"/>
      <c r="EZ105" s="115"/>
      <c r="FA105" s="115"/>
      <c r="FB105" s="109"/>
    </row>
    <row r="106" spans="1:158" hidden="1" x14ac:dyDescent="0.3">
      <c r="A106" s="86">
        <v>44718</v>
      </c>
      <c r="B106" s="106">
        <f t="shared" si="29"/>
        <v>19</v>
      </c>
      <c r="C106" s="96">
        <v>130.8929889298893</v>
      </c>
      <c r="D106" s="96">
        <v>64.255069745633563</v>
      </c>
      <c r="E106" s="96">
        <v>26.167333390075747</v>
      </c>
      <c r="F106" s="69">
        <f t="shared" si="22"/>
        <v>66.637919184255736</v>
      </c>
      <c r="Q106" s="70">
        <v>61.579500000000003</v>
      </c>
      <c r="R106" s="72"/>
      <c r="T106" s="72"/>
      <c r="U106" s="72"/>
      <c r="V106" s="72"/>
      <c r="W106" s="72"/>
      <c r="X106" s="72"/>
      <c r="Y106" s="73"/>
      <c r="Z106" s="73"/>
      <c r="AA106" s="72">
        <f t="shared" ref="AA106:AA150" si="40">3.5492*F106 + 14.154</f>
        <v>250.66530276876045</v>
      </c>
      <c r="AB106" s="72"/>
      <c r="AC106" s="72"/>
      <c r="AD106" s="72"/>
      <c r="AE106" s="72"/>
      <c r="AF106" s="72"/>
      <c r="AH106" s="74">
        <v>7.22</v>
      </c>
      <c r="AI106" s="95">
        <v>87.67527675276753</v>
      </c>
      <c r="AJ106" s="95">
        <v>103.6408392919939</v>
      </c>
      <c r="AK106" s="95">
        <v>16.194739977870455</v>
      </c>
      <c r="AL106" s="96">
        <f t="shared" si="39"/>
        <v>-15.965562539226369</v>
      </c>
      <c r="AQ106" s="70">
        <v>13.901899999999999</v>
      </c>
      <c r="AW106" s="72"/>
      <c r="AX106" s="75"/>
      <c r="AY106" s="75"/>
      <c r="AZ106" s="75"/>
      <c r="BA106" s="75"/>
      <c r="BB106" s="72"/>
      <c r="BC106" s="72"/>
      <c r="BD106" s="72"/>
      <c r="BE106" s="72"/>
      <c r="BG106" s="74">
        <v>6.93</v>
      </c>
      <c r="BH106" s="93">
        <v>81.298892988929893</v>
      </c>
      <c r="BI106" s="93">
        <v>101.53088735201032</v>
      </c>
      <c r="BJ106" s="93">
        <v>16.66865265128947</v>
      </c>
      <c r="BK106" s="88">
        <f t="shared" si="24"/>
        <v>-20.231994363080432</v>
      </c>
      <c r="BL106" s="88"/>
      <c r="BM106" s="88"/>
      <c r="BN106" s="88"/>
      <c r="BO106" s="88"/>
      <c r="BV106" s="70">
        <v>3.5333999999999999</v>
      </c>
      <c r="CC106" s="72"/>
      <c r="CD106" s="72"/>
      <c r="CE106" s="72"/>
      <c r="CF106" s="72">
        <f t="shared" si="31"/>
        <v>84.611238193157902</v>
      </c>
      <c r="CG106" s="72"/>
      <c r="CH106" s="72"/>
      <c r="CI106" s="72"/>
      <c r="CJ106" s="72"/>
      <c r="CL106" s="74">
        <v>6.99</v>
      </c>
      <c r="CM106" s="69"/>
      <c r="CN106" s="69"/>
      <c r="CO106" s="69"/>
      <c r="CP106" s="69"/>
      <c r="CQ106" s="76"/>
      <c r="CR106" s="76"/>
      <c r="CS106" s="177"/>
      <c r="CT106" s="70"/>
      <c r="CU106" s="76"/>
      <c r="CV106" s="77"/>
      <c r="CW106" s="77"/>
      <c r="CX106" s="77"/>
      <c r="CY106" s="77"/>
      <c r="CZ106" s="77"/>
      <c r="DA106" s="66"/>
      <c r="DB106" s="66"/>
      <c r="DC106" s="66"/>
      <c r="DD106" s="66"/>
      <c r="DE106" s="66"/>
      <c r="DF106" s="66"/>
      <c r="DG106" s="66"/>
      <c r="DH106" s="66"/>
      <c r="DI106" s="168"/>
      <c r="DJ106" s="67"/>
      <c r="DK106" s="69"/>
      <c r="DL106" s="69"/>
      <c r="DM106" s="69"/>
      <c r="DN106" s="69"/>
      <c r="DO106" s="69"/>
      <c r="DP106" s="69"/>
      <c r="DQ106" s="69"/>
      <c r="DR106" s="69"/>
      <c r="DS106" s="70"/>
      <c r="DT106" s="70"/>
      <c r="DU106" s="70"/>
      <c r="DV106" s="177"/>
      <c r="DW106" s="177"/>
      <c r="DX106" s="70"/>
      <c r="DY106" s="70"/>
      <c r="DZ106" s="71"/>
      <c r="EA106" s="71"/>
      <c r="EB106" s="180"/>
      <c r="EC106" s="180"/>
      <c r="ED106" s="71"/>
      <c r="EE106" s="180"/>
      <c r="EF106" s="66"/>
      <c r="EG106" s="66"/>
      <c r="EH106" s="79"/>
      <c r="EI106" s="66"/>
      <c r="EJ106" s="79"/>
      <c r="EK106" s="66"/>
      <c r="EL106" s="168"/>
      <c r="EM106" s="67"/>
      <c r="EN106" s="72">
        <f t="shared" si="32"/>
        <v>37.889039242219212</v>
      </c>
      <c r="EO106" s="72">
        <f t="shared" si="33"/>
        <v>-58.012259194395831</v>
      </c>
      <c r="EP106" s="72">
        <f t="shared" si="34"/>
        <v>36.299765807962523</v>
      </c>
      <c r="EQ106" s="72">
        <f t="shared" si="35"/>
        <v>130.36108361537879</v>
      </c>
      <c r="ER106" s="79">
        <f t="shared" si="36"/>
        <v>66.245333016348084</v>
      </c>
      <c r="ES106" s="66"/>
      <c r="ET106" s="66"/>
      <c r="EU106" s="66"/>
      <c r="EV106" s="72"/>
      <c r="EW106" s="72"/>
      <c r="EX106" s="66"/>
      <c r="EY106" s="66"/>
      <c r="EZ106" s="66"/>
      <c r="FA106" s="66"/>
      <c r="FB106" s="72"/>
    </row>
    <row r="107" spans="1:158" hidden="1" x14ac:dyDescent="0.3">
      <c r="A107" s="86">
        <v>44720</v>
      </c>
      <c r="B107" s="106">
        <f t="shared" si="29"/>
        <v>21</v>
      </c>
      <c r="C107" s="96">
        <v>121.0450184501845</v>
      </c>
      <c r="D107" s="93">
        <v>53.508381197983823</v>
      </c>
      <c r="E107" s="93">
        <v>13.234828496042217</v>
      </c>
      <c r="F107" s="69">
        <f t="shared" si="22"/>
        <v>67.536637252200677</v>
      </c>
      <c r="N107" s="70">
        <v>1.8700000000000001E-2</v>
      </c>
      <c r="O107" s="70">
        <f t="shared" si="37"/>
        <v>4.2243300000000001E-3</v>
      </c>
      <c r="Q107" s="70">
        <v>37.150500000000001</v>
      </c>
      <c r="X107" s="72"/>
      <c r="Y107" s="73"/>
      <c r="Z107" s="73"/>
      <c r="AA107" s="72">
        <f t="shared" si="40"/>
        <v>253.85503293551062</v>
      </c>
      <c r="AB107" s="72"/>
      <c r="AC107" s="72"/>
      <c r="AD107" s="72"/>
      <c r="AE107" s="72"/>
      <c r="AF107" s="72"/>
      <c r="AH107" s="74">
        <v>7.63</v>
      </c>
      <c r="AI107" s="97">
        <v>88.100369003690048</v>
      </c>
      <c r="AJ107" s="97">
        <v>101.30582581174539</v>
      </c>
      <c r="AK107" s="97">
        <v>13.927312962805345</v>
      </c>
      <c r="AL107" s="96">
        <f t="shared" si="39"/>
        <v>-13.205456808055345</v>
      </c>
      <c r="AQ107" s="70">
        <v>1.7266999999999999</v>
      </c>
      <c r="AW107" s="72"/>
      <c r="AX107" s="75"/>
      <c r="AY107" s="75"/>
      <c r="AZ107" s="75"/>
      <c r="BA107" s="75"/>
      <c r="BB107" s="72"/>
      <c r="BC107" s="72"/>
      <c r="BD107" s="72"/>
      <c r="BE107" s="72"/>
      <c r="BG107" s="74">
        <v>6.88</v>
      </c>
      <c r="BH107" s="93">
        <v>89.836162361623622</v>
      </c>
      <c r="BI107" s="93">
        <v>103.07818544133161</v>
      </c>
      <c r="BJ107" s="93">
        <v>13.817005702612988</v>
      </c>
      <c r="BK107" s="88">
        <f t="shared" si="24"/>
        <v>-13.242023079707991</v>
      </c>
      <c r="BL107" s="88"/>
      <c r="BM107" s="88"/>
      <c r="BN107" s="88"/>
      <c r="BO107" s="88"/>
      <c r="BV107" s="70">
        <v>2.4262000000000001</v>
      </c>
      <c r="CC107" s="72"/>
      <c r="CD107" s="72"/>
      <c r="CE107" s="72"/>
      <c r="CF107" s="72">
        <f t="shared" si="31"/>
        <v>107.17137051024245</v>
      </c>
      <c r="CG107" s="72"/>
      <c r="CH107" s="72"/>
      <c r="CI107" s="72"/>
      <c r="CJ107" s="72"/>
      <c r="CL107" s="74">
        <v>6.82</v>
      </c>
      <c r="CM107" s="69"/>
      <c r="CN107" s="69"/>
      <c r="CO107" s="69"/>
      <c r="CP107" s="69"/>
      <c r="CQ107" s="76"/>
      <c r="CR107" s="76"/>
      <c r="CS107" s="177"/>
      <c r="CT107" s="70"/>
      <c r="CU107" s="76"/>
      <c r="CV107" s="77"/>
      <c r="CW107" s="77"/>
      <c r="CX107" s="77"/>
      <c r="CY107" s="77"/>
      <c r="CZ107" s="77"/>
      <c r="DA107" s="66"/>
      <c r="DB107" s="66"/>
      <c r="DC107" s="66"/>
      <c r="DD107" s="66"/>
      <c r="DE107" s="66"/>
      <c r="DF107" s="66"/>
      <c r="DG107" s="66"/>
      <c r="DH107" s="66"/>
      <c r="DI107" s="168"/>
      <c r="DJ107" s="67"/>
      <c r="DK107" s="69"/>
      <c r="DL107" s="69"/>
      <c r="DM107" s="69"/>
      <c r="DN107" s="69"/>
      <c r="DO107" s="69"/>
      <c r="DP107" s="69"/>
      <c r="DQ107" s="69"/>
      <c r="DR107" s="69"/>
      <c r="DS107" s="70"/>
      <c r="DT107" s="70"/>
      <c r="DU107" s="70"/>
      <c r="DV107" s="177"/>
      <c r="DW107" s="177"/>
      <c r="DX107" s="70"/>
      <c r="DY107" s="70"/>
      <c r="DZ107" s="71"/>
      <c r="EA107" s="71"/>
      <c r="EB107" s="180"/>
      <c r="EC107" s="180"/>
      <c r="ED107" s="71"/>
      <c r="EE107" s="180"/>
      <c r="EF107" s="66"/>
      <c r="EG107" s="66"/>
      <c r="EH107" s="79"/>
      <c r="EI107" s="66"/>
      <c r="EJ107" s="79"/>
      <c r="EK107" s="66"/>
      <c r="EL107" s="168"/>
      <c r="EM107" s="67"/>
      <c r="EN107" s="78">
        <f t="shared" si="32"/>
        <v>25.782850453614277</v>
      </c>
      <c r="EO107" s="78">
        <f t="shared" si="33"/>
        <v>-92.639327024185064</v>
      </c>
      <c r="EP107" s="78">
        <f t="shared" si="34"/>
        <v>-4.3988269794721324</v>
      </c>
      <c r="EQ107" s="78">
        <f t="shared" si="35"/>
        <v>119.60716970591618</v>
      </c>
      <c r="ER107" s="79">
        <f t="shared" si="36"/>
        <v>57.782451948680368</v>
      </c>
      <c r="ES107" s="66"/>
      <c r="ET107" s="66"/>
      <c r="EU107" s="66"/>
      <c r="EV107" s="79"/>
      <c r="EW107" s="79"/>
      <c r="EX107" s="66"/>
      <c r="EY107" s="66"/>
      <c r="EZ107" s="66"/>
      <c r="FA107" s="66"/>
      <c r="FB107" s="79"/>
    </row>
    <row r="108" spans="1:158" hidden="1" x14ac:dyDescent="0.3">
      <c r="A108" s="86">
        <v>44722</v>
      </c>
      <c r="B108" s="106">
        <f t="shared" si="29"/>
        <v>23</v>
      </c>
      <c r="C108" s="96">
        <v>120.87253301676805</v>
      </c>
      <c r="D108" s="93">
        <v>67.870669745958438</v>
      </c>
      <c r="E108" s="93">
        <v>18.738906088751289</v>
      </c>
      <c r="F108" s="69">
        <f t="shared" si="22"/>
        <v>53.001863270809608</v>
      </c>
      <c r="N108" s="70">
        <v>0.3175</v>
      </c>
      <c r="O108" s="70">
        <f t="shared" si="37"/>
        <v>7.1723250000000002E-2</v>
      </c>
      <c r="Q108" s="70">
        <v>42.204000000000001</v>
      </c>
      <c r="X108" s="72"/>
      <c r="Y108" s="73">
        <f>48*5</f>
        <v>240</v>
      </c>
      <c r="Z108" s="73"/>
      <c r="AA108" s="72">
        <f t="shared" si="40"/>
        <v>202.26821312075745</v>
      </c>
      <c r="AB108" s="72"/>
      <c r="AC108" s="72"/>
      <c r="AD108" s="72"/>
      <c r="AE108" s="72"/>
      <c r="AF108" s="72"/>
      <c r="AH108" s="74">
        <v>7.52</v>
      </c>
      <c r="AI108" s="96">
        <v>86.505416233862604</v>
      </c>
      <c r="AJ108" s="96">
        <v>100.51732101616629</v>
      </c>
      <c r="AK108" s="96">
        <v>14.482972136222912</v>
      </c>
      <c r="AL108" s="96">
        <f t="shared" si="39"/>
        <v>-14.011904782303688</v>
      </c>
      <c r="AQ108" s="70">
        <v>0.59989999999999999</v>
      </c>
      <c r="AW108" s="72"/>
      <c r="AX108" s="75"/>
      <c r="AY108" s="75"/>
      <c r="AZ108" s="75"/>
      <c r="BA108" s="75"/>
      <c r="BB108" s="72"/>
      <c r="BC108" s="72"/>
      <c r="BD108" s="72"/>
      <c r="BE108" s="72"/>
      <c r="BG108" s="74">
        <v>6.87</v>
      </c>
      <c r="BH108" s="93">
        <v>82.267398723846284</v>
      </c>
      <c r="BI108" s="93">
        <v>97.330254041570441</v>
      </c>
      <c r="BJ108" s="93">
        <v>15.027863777089783</v>
      </c>
      <c r="BK108" s="88">
        <f t="shared" si="24"/>
        <v>-15.062855317724157</v>
      </c>
      <c r="BL108" s="88"/>
      <c r="BM108" s="88"/>
      <c r="BN108" s="88"/>
      <c r="BO108" s="88"/>
      <c r="BV108" s="70">
        <v>0.51680000000000004</v>
      </c>
      <c r="CC108" s="72"/>
      <c r="CD108" s="72">
        <f>36*2</f>
        <v>72</v>
      </c>
      <c r="CE108" s="72"/>
      <c r="CF108" s="72">
        <f t="shared" si="31"/>
        <v>101.29463446204528</v>
      </c>
      <c r="CG108" s="72"/>
      <c r="CH108" s="72"/>
      <c r="CI108" s="72"/>
      <c r="CJ108" s="72"/>
      <c r="CL108" s="74">
        <v>6.93</v>
      </c>
      <c r="CM108" s="69"/>
      <c r="CN108" s="69"/>
      <c r="CO108" s="69"/>
      <c r="CP108" s="69"/>
      <c r="CQ108" s="76"/>
      <c r="CR108" s="76"/>
      <c r="CS108" s="177"/>
      <c r="CT108" s="70"/>
      <c r="CU108" s="76"/>
      <c r="CV108" s="77"/>
      <c r="CW108" s="77"/>
      <c r="CX108" s="77"/>
      <c r="CY108" s="77"/>
      <c r="CZ108" s="77"/>
      <c r="DA108" s="66"/>
      <c r="DB108" s="66"/>
      <c r="DC108" s="66"/>
      <c r="DD108" s="66"/>
      <c r="DE108" s="66"/>
      <c r="DF108" s="66"/>
      <c r="DG108" s="66"/>
      <c r="DH108" s="66"/>
      <c r="DI108" s="168"/>
      <c r="DJ108" s="67"/>
      <c r="DK108" s="69"/>
      <c r="DL108" s="69"/>
      <c r="DM108" s="69"/>
      <c r="DN108" s="69"/>
      <c r="DO108" s="69"/>
      <c r="DP108" s="69"/>
      <c r="DQ108" s="69"/>
      <c r="DR108" s="69"/>
      <c r="DS108" s="70"/>
      <c r="DT108" s="70"/>
      <c r="DU108" s="70"/>
      <c r="DV108" s="177"/>
      <c r="DW108" s="177"/>
      <c r="DX108" s="70"/>
      <c r="DY108" s="70"/>
      <c r="DZ108" s="71"/>
      <c r="EA108" s="71"/>
      <c r="EB108" s="180"/>
      <c r="EC108" s="180"/>
      <c r="ED108" s="71"/>
      <c r="EE108" s="180"/>
      <c r="EF108" s="66"/>
      <c r="EG108" s="66"/>
      <c r="EH108" s="79"/>
      <c r="EI108" s="66"/>
      <c r="EJ108" s="79"/>
      <c r="EK108" s="66"/>
      <c r="EL108" s="168"/>
      <c r="EM108" s="67"/>
      <c r="EN108" s="78">
        <f t="shared" si="32"/>
        <v>31.938715380082471</v>
      </c>
      <c r="EO108" s="78">
        <f t="shared" si="33"/>
        <v>-43.405471621069815</v>
      </c>
      <c r="EP108" s="78">
        <f t="shared" si="34"/>
        <v>19.803943165546865</v>
      </c>
      <c r="EQ108" s="78">
        <f t="shared" si="35"/>
        <v>128.41948261471765</v>
      </c>
      <c r="ER108" s="79">
        <f t="shared" si="36"/>
        <v>49.920636120134844</v>
      </c>
      <c r="ES108" s="66"/>
      <c r="ET108" s="66"/>
      <c r="EU108" s="66"/>
      <c r="EV108" s="79"/>
      <c r="EW108" s="79"/>
      <c r="EX108" s="66"/>
      <c r="EY108" s="66"/>
      <c r="EZ108" s="66"/>
      <c r="FA108" s="66"/>
      <c r="FB108" s="79"/>
    </row>
    <row r="109" spans="1:158" hidden="1" x14ac:dyDescent="0.3">
      <c r="A109" s="86">
        <v>44725</v>
      </c>
      <c r="B109" s="106">
        <f t="shared" si="29"/>
        <v>26</v>
      </c>
      <c r="C109" s="96">
        <v>143.09541474996288</v>
      </c>
      <c r="D109" s="93">
        <v>47.778290993071593</v>
      </c>
      <c r="E109" s="93">
        <v>18.982456140350877</v>
      </c>
      <c r="F109" s="96">
        <f t="shared" si="22"/>
        <v>95.317123756891291</v>
      </c>
      <c r="G109" s="96"/>
      <c r="H109" s="96"/>
      <c r="I109" s="96"/>
      <c r="J109" s="96"/>
      <c r="K109" s="70">
        <v>47.546999999999997</v>
      </c>
      <c r="N109" s="70">
        <v>0.46360000000000001</v>
      </c>
      <c r="O109" s="70">
        <f t="shared" si="37"/>
        <v>0.10472724</v>
      </c>
      <c r="P109" s="70">
        <v>9.5070000000000002E-2</v>
      </c>
      <c r="Q109" s="70">
        <v>42.279800000000002</v>
      </c>
      <c r="R109" s="71">
        <v>49.888979999999997</v>
      </c>
      <c r="S109" s="71">
        <f t="shared" si="26"/>
        <v>38.737890764524089</v>
      </c>
      <c r="X109" s="72"/>
      <c r="Y109" s="73">
        <f>67*5</f>
        <v>335</v>
      </c>
      <c r="Z109" s="73"/>
      <c r="AA109" s="72">
        <f t="shared" si="40"/>
        <v>352.45353563795857</v>
      </c>
      <c r="AB109" s="72"/>
      <c r="AC109" s="72"/>
      <c r="AD109" s="72"/>
      <c r="AE109" s="72"/>
      <c r="AF109" s="72"/>
      <c r="AH109" s="74">
        <v>6.88</v>
      </c>
      <c r="AI109" s="96">
        <v>108.33654844932482</v>
      </c>
      <c r="AJ109" s="96">
        <v>148.54503464203236</v>
      </c>
      <c r="AK109" s="96">
        <v>18.953560371517028</v>
      </c>
      <c r="AL109" s="96">
        <f t="shared" si="39"/>
        <v>-40.208486192707539</v>
      </c>
      <c r="AO109" s="70">
        <v>0.36149999999999999</v>
      </c>
      <c r="AP109" s="70">
        <v>20.47409</v>
      </c>
      <c r="AQ109" s="70">
        <v>2.3260999999999998</v>
      </c>
      <c r="AR109" s="71">
        <v>101.2064</v>
      </c>
      <c r="AW109" s="72"/>
      <c r="AX109" s="75"/>
      <c r="AY109" s="75"/>
      <c r="AZ109" s="75"/>
      <c r="BA109" s="75"/>
      <c r="BB109" s="72"/>
      <c r="BC109" s="72"/>
      <c r="BD109" s="72"/>
      <c r="BE109" s="72"/>
      <c r="BG109" s="74">
        <v>6.98</v>
      </c>
      <c r="BH109" s="93">
        <v>110.75827274076273</v>
      </c>
      <c r="BI109" s="93">
        <v>131.72286374133949</v>
      </c>
      <c r="BJ109" s="93">
        <v>19.958720330237355</v>
      </c>
      <c r="BK109" s="88">
        <f t="shared" si="24"/>
        <v>-20.96459100057676</v>
      </c>
      <c r="BL109" s="88"/>
      <c r="BM109" s="88"/>
      <c r="BN109" s="88"/>
      <c r="BO109" s="88"/>
      <c r="BS109" s="70">
        <v>0.58279999999999998</v>
      </c>
      <c r="BT109" s="70">
        <f t="shared" si="27"/>
        <v>0.13165452</v>
      </c>
      <c r="BU109" s="70">
        <v>27.514769999999999</v>
      </c>
      <c r="BV109" s="70">
        <v>4.0290999999999997</v>
      </c>
      <c r="BW109" s="71">
        <v>98.54477</v>
      </c>
      <c r="BX109" s="71">
        <f t="shared" si="28"/>
        <v>76.518231795381482</v>
      </c>
      <c r="CC109" s="72"/>
      <c r="CD109" s="72">
        <f>42*2</f>
        <v>84</v>
      </c>
      <c r="CE109" s="72"/>
      <c r="CF109" s="72">
        <f t="shared" si="31"/>
        <v>82.246782545638496</v>
      </c>
      <c r="CG109" s="72"/>
      <c r="CH109" s="72"/>
      <c r="CI109" s="72"/>
      <c r="CJ109" s="72"/>
      <c r="CL109" s="74">
        <v>6.81</v>
      </c>
      <c r="CM109" s="69"/>
      <c r="CN109" s="69"/>
      <c r="CO109" s="69"/>
      <c r="CP109" s="69"/>
      <c r="CQ109" s="76"/>
      <c r="CR109" s="76"/>
      <c r="CS109" s="177"/>
      <c r="CT109" s="70"/>
      <c r="CU109" s="76"/>
      <c r="CV109" s="77"/>
      <c r="CW109" s="77"/>
      <c r="CX109" s="77"/>
      <c r="CY109" s="77"/>
      <c r="CZ109" s="77"/>
      <c r="DA109" s="66"/>
      <c r="DB109" s="66"/>
      <c r="DC109" s="66"/>
      <c r="DD109" s="66"/>
      <c r="DE109" s="66"/>
      <c r="DF109" s="66"/>
      <c r="DG109" s="66"/>
      <c r="DH109" s="66"/>
      <c r="DI109" s="168"/>
      <c r="DJ109" s="67"/>
      <c r="DK109" s="69"/>
      <c r="DL109" s="69"/>
      <c r="DM109" s="69"/>
      <c r="DN109" s="69"/>
      <c r="DO109" s="69"/>
      <c r="DP109" s="69"/>
      <c r="DQ109" s="69"/>
      <c r="DR109" s="69"/>
      <c r="DS109" s="70"/>
      <c r="DT109" s="70"/>
      <c r="DU109" s="70"/>
      <c r="DV109" s="177"/>
      <c r="DW109" s="177"/>
      <c r="DX109" s="70"/>
      <c r="DY109" s="70"/>
      <c r="DZ109" s="71"/>
      <c r="EA109" s="71"/>
      <c r="EB109" s="180"/>
      <c r="EC109" s="180"/>
      <c r="ED109" s="71"/>
      <c r="EE109" s="180"/>
      <c r="EF109" s="66"/>
      <c r="EG109" s="66"/>
      <c r="EH109" s="79"/>
      <c r="EI109" s="66"/>
      <c r="EJ109" s="79"/>
      <c r="EK109" s="66"/>
      <c r="EL109" s="168"/>
      <c r="EM109" s="67"/>
      <c r="EN109" s="78">
        <f t="shared" si="32"/>
        <v>22.598307615729201</v>
      </c>
      <c r="EO109" s="78">
        <f t="shared" si="33"/>
        <v>-175.69605568445476</v>
      </c>
      <c r="EP109" s="78">
        <f t="shared" si="34"/>
        <v>-5.1429814069805246</v>
      </c>
      <c r="EQ109" s="78">
        <f t="shared" si="35"/>
        <v>121.99456946901532</v>
      </c>
      <c r="ER109" s="79">
        <f t="shared" si="36"/>
        <v>76.664503479368506</v>
      </c>
      <c r="ES109" s="66"/>
      <c r="ET109" s="66"/>
      <c r="EU109" s="66"/>
      <c r="EV109" s="79"/>
      <c r="EW109" s="79"/>
      <c r="EX109" s="66"/>
      <c r="EY109" s="66"/>
      <c r="EZ109" s="66"/>
      <c r="FA109" s="66"/>
      <c r="FB109" s="79"/>
    </row>
    <row r="110" spans="1:158" hidden="1" x14ac:dyDescent="0.3">
      <c r="A110" s="86">
        <v>44727</v>
      </c>
      <c r="B110" s="106">
        <f t="shared" si="29"/>
        <v>28</v>
      </c>
      <c r="C110" s="96">
        <v>92.437902483900643</v>
      </c>
      <c r="D110" s="93">
        <v>49.60624334870522</v>
      </c>
      <c r="E110" s="93">
        <v>18.892319277108435</v>
      </c>
      <c r="F110" s="96">
        <f t="shared" si="22"/>
        <v>42.831659135195423</v>
      </c>
      <c r="G110" s="96"/>
      <c r="H110" s="96"/>
      <c r="I110" s="96"/>
      <c r="J110" s="96"/>
      <c r="N110" s="70">
        <v>0.56069999999999998</v>
      </c>
      <c r="O110" s="70">
        <f t="shared" si="37"/>
        <v>0.12666212999999998</v>
      </c>
      <c r="P110" s="70">
        <v>5.5459500000000004</v>
      </c>
      <c r="Q110" s="70">
        <v>109.8323</v>
      </c>
      <c r="R110" s="71">
        <v>77.496070000000003</v>
      </c>
      <c r="S110" s="71">
        <f t="shared" si="26"/>
        <v>60.174296895625304</v>
      </c>
      <c r="X110" s="72"/>
      <c r="Y110" s="73"/>
      <c r="Z110" s="73"/>
      <c r="AA110" s="72">
        <f t="shared" si="40"/>
        <v>166.17212460263559</v>
      </c>
      <c r="AB110" s="72"/>
      <c r="AC110" s="72"/>
      <c r="AD110" s="72"/>
      <c r="AE110" s="72"/>
      <c r="AF110" s="72"/>
      <c r="AH110" s="74">
        <v>7.44</v>
      </c>
      <c r="AI110" s="96">
        <v>82.575896964121455</v>
      </c>
      <c r="AJ110" s="96">
        <v>123.02234835047891</v>
      </c>
      <c r="AK110" s="96">
        <v>14.839608433734941</v>
      </c>
      <c r="AL110" s="96">
        <f t="shared" si="39"/>
        <v>-40.446451386357452</v>
      </c>
      <c r="AO110" s="70">
        <v>0.36280000000000001</v>
      </c>
      <c r="AP110" s="70">
        <v>20.2196</v>
      </c>
      <c r="AQ110" s="70">
        <v>9.4606999999999992</v>
      </c>
      <c r="AR110" s="71">
        <v>81.312830000000005</v>
      </c>
      <c r="AW110" s="72"/>
      <c r="AX110" s="75"/>
      <c r="AY110" s="75"/>
      <c r="AZ110" s="75"/>
      <c r="BA110" s="75"/>
      <c r="BB110" s="72"/>
      <c r="BC110" s="72"/>
      <c r="BD110" s="72"/>
      <c r="BE110" s="72"/>
      <c r="BG110" s="74">
        <v>6.88</v>
      </c>
      <c r="BH110" s="93">
        <v>83.09107635694572</v>
      </c>
      <c r="BI110" s="93">
        <v>114.08300815892161</v>
      </c>
      <c r="BJ110" s="93">
        <v>13.538403614457833</v>
      </c>
      <c r="BK110" s="88">
        <f t="shared" si="24"/>
        <v>-30.991931801975895</v>
      </c>
      <c r="BL110" s="88"/>
      <c r="BM110" s="88"/>
      <c r="BN110" s="88"/>
      <c r="BO110" s="88"/>
      <c r="BU110" s="70">
        <v>20.894580000000001</v>
      </c>
      <c r="BV110" s="70">
        <v>13.3728</v>
      </c>
      <c r="BW110" s="71">
        <v>80.380330000000001</v>
      </c>
      <c r="BX110" s="71">
        <f t="shared" si="28"/>
        <v>62.413872625906542</v>
      </c>
      <c r="CC110" s="72"/>
      <c r="CD110" s="72"/>
      <c r="CE110" s="72"/>
      <c r="CF110" s="72">
        <f t="shared" si="31"/>
        <v>49.883540109122791</v>
      </c>
      <c r="CG110" s="72"/>
      <c r="CH110" s="72"/>
      <c r="CI110" s="72"/>
      <c r="CJ110" s="72"/>
      <c r="CL110" s="74">
        <v>6.87</v>
      </c>
      <c r="CM110" s="69"/>
      <c r="CN110" s="69"/>
      <c r="CO110" s="69"/>
      <c r="CP110" s="69"/>
      <c r="CQ110" s="76"/>
      <c r="CR110" s="76"/>
      <c r="CS110" s="177"/>
      <c r="CT110" s="70"/>
      <c r="CU110" s="76"/>
      <c r="CV110" s="77"/>
      <c r="CW110" s="77"/>
      <c r="CX110" s="77"/>
      <c r="CY110" s="77"/>
      <c r="CZ110" s="77"/>
      <c r="DA110" s="66"/>
      <c r="DB110" s="66"/>
      <c r="DC110" s="66"/>
      <c r="DD110" s="66"/>
      <c r="DE110" s="66"/>
      <c r="DF110" s="66"/>
      <c r="DG110" s="66"/>
      <c r="DH110" s="66"/>
      <c r="DI110" s="168"/>
      <c r="DJ110" s="67"/>
      <c r="DK110" s="69"/>
      <c r="DL110" s="69"/>
      <c r="DM110" s="69"/>
      <c r="DN110" s="69"/>
      <c r="DO110" s="69"/>
      <c r="DP110" s="69"/>
      <c r="DQ110" s="69"/>
      <c r="DR110" s="69"/>
      <c r="DS110" s="70"/>
      <c r="DT110" s="70"/>
      <c r="DU110" s="70"/>
      <c r="DV110" s="177"/>
      <c r="DW110" s="177"/>
      <c r="DX110" s="70"/>
      <c r="DY110" s="70"/>
      <c r="DZ110" s="71"/>
      <c r="EA110" s="71"/>
      <c r="EB110" s="180"/>
      <c r="EC110" s="180"/>
      <c r="ED110" s="71"/>
      <c r="EE110" s="180"/>
      <c r="EF110" s="66"/>
      <c r="EG110" s="66"/>
      <c r="EH110" s="79"/>
      <c r="EI110" s="66"/>
      <c r="EJ110" s="79"/>
      <c r="EK110" s="66"/>
      <c r="EL110" s="168"/>
      <c r="EM110" s="67"/>
      <c r="EN110" s="78">
        <f t="shared" si="32"/>
        <v>10.111464968152868</v>
      </c>
      <c r="EO110" s="78">
        <f t="shared" si="33"/>
        <v>-129.9771167048055</v>
      </c>
      <c r="EP110" s="78">
        <f t="shared" si="34"/>
        <v>28.339112758579454</v>
      </c>
      <c r="EQ110" s="78">
        <f t="shared" si="35"/>
        <v>172.35753278702518</v>
      </c>
      <c r="ER110" s="79">
        <f t="shared" si="36"/>
        <v>69.980801395896933</v>
      </c>
      <c r="ES110" s="66"/>
      <c r="ET110" s="66"/>
      <c r="EU110" s="66"/>
      <c r="EV110" s="79"/>
      <c r="EW110" s="79"/>
      <c r="EX110" s="66"/>
      <c r="EY110" s="66"/>
      <c r="EZ110" s="66"/>
      <c r="FA110" s="66"/>
      <c r="FB110" s="79"/>
    </row>
    <row r="111" spans="1:158" hidden="1" x14ac:dyDescent="0.3">
      <c r="A111" s="86">
        <v>44729</v>
      </c>
      <c r="B111" s="106">
        <f t="shared" si="29"/>
        <v>30</v>
      </c>
      <c r="C111" s="96">
        <v>158.49126034958604</v>
      </c>
      <c r="D111" s="93">
        <v>64.760553387726162</v>
      </c>
      <c r="E111" s="93">
        <v>20.182228915662648</v>
      </c>
      <c r="F111" s="96">
        <f t="shared" si="22"/>
        <v>93.73070696185988</v>
      </c>
      <c r="G111" s="96"/>
      <c r="H111" s="96"/>
      <c r="I111" s="96"/>
      <c r="J111" s="96"/>
      <c r="P111" s="70">
        <v>5.0439100000000003</v>
      </c>
      <c r="Q111" s="70">
        <v>85.025199999999998</v>
      </c>
      <c r="R111" s="71">
        <v>77.302599999999998</v>
      </c>
      <c r="S111" s="71">
        <f t="shared" si="26"/>
        <v>60.024070939387819</v>
      </c>
      <c r="X111" s="72"/>
      <c r="Y111" s="73">
        <f>118*3</f>
        <v>354</v>
      </c>
      <c r="Z111" s="73"/>
      <c r="AA111" s="72">
        <f t="shared" si="40"/>
        <v>346.82302514903307</v>
      </c>
      <c r="AB111" s="72"/>
      <c r="AC111" s="72"/>
      <c r="AD111" s="72"/>
      <c r="AE111" s="72"/>
      <c r="AF111" s="72"/>
      <c r="AH111" s="74">
        <v>7.53</v>
      </c>
      <c r="AI111" s="96">
        <v>93.799448022079105</v>
      </c>
      <c r="AJ111" s="96">
        <v>119.81553742461867</v>
      </c>
      <c r="AK111" s="96">
        <v>15.871987951807229</v>
      </c>
      <c r="AL111" s="96">
        <f t="shared" si="39"/>
        <v>-26.016089402539563</v>
      </c>
      <c r="AP111" s="70">
        <v>20.708549999999999</v>
      </c>
      <c r="AQ111" s="70">
        <v>15.377800000000001</v>
      </c>
      <c r="AR111" s="71">
        <v>85.935169999999999</v>
      </c>
      <c r="AW111" s="72"/>
      <c r="AX111" s="75"/>
      <c r="AY111" s="75"/>
      <c r="AZ111" s="75"/>
      <c r="BA111" s="75"/>
      <c r="BB111" s="72"/>
      <c r="BC111" s="72"/>
      <c r="BD111" s="72"/>
      <c r="BE111" s="72"/>
      <c r="BF111" s="168">
        <v>2207.8850000000002</v>
      </c>
      <c r="BG111" s="74">
        <v>6.91</v>
      </c>
      <c r="BH111" s="93">
        <v>94.351425942962294</v>
      </c>
      <c r="BI111" s="93">
        <v>117.11954593827599</v>
      </c>
      <c r="BJ111" s="93">
        <v>15.998493975903614</v>
      </c>
      <c r="BK111" s="88">
        <f t="shared" si="24"/>
        <v>-22.768119995313697</v>
      </c>
      <c r="BL111" s="88"/>
      <c r="BM111" s="88"/>
      <c r="BN111" s="88"/>
      <c r="BO111" s="88"/>
      <c r="BU111" s="70">
        <v>18.981459999999998</v>
      </c>
      <c r="BV111" s="70">
        <v>24.831600000000002</v>
      </c>
      <c r="BW111" s="71">
        <v>84.846559999999997</v>
      </c>
      <c r="BX111" s="71">
        <f t="shared" si="28"/>
        <v>65.881819452424949</v>
      </c>
      <c r="CC111" s="72"/>
      <c r="CD111" s="72">
        <v>80</v>
      </c>
      <c r="CE111" s="72"/>
      <c r="CF111" s="72">
        <f t="shared" si="31"/>
        <v>76.425892715125045</v>
      </c>
      <c r="CG111" s="72"/>
      <c r="CH111" s="72"/>
      <c r="CI111" s="72"/>
      <c r="CJ111" s="72"/>
      <c r="CL111" s="74">
        <v>6.9</v>
      </c>
      <c r="CM111" s="69"/>
      <c r="CN111" s="69"/>
      <c r="CO111" s="69"/>
      <c r="CP111" s="69"/>
      <c r="CQ111" s="76"/>
      <c r="CR111" s="76"/>
      <c r="CS111" s="177"/>
      <c r="CT111" s="70"/>
      <c r="CU111" s="76"/>
      <c r="CV111" s="77"/>
      <c r="CW111" s="77"/>
      <c r="CX111" s="77"/>
      <c r="CY111" s="77"/>
      <c r="CZ111" s="77"/>
      <c r="DA111" s="66"/>
      <c r="DB111" s="66"/>
      <c r="DC111" s="66"/>
      <c r="DD111" s="66"/>
      <c r="DE111" s="66"/>
      <c r="DF111" s="66"/>
      <c r="DG111" s="66"/>
      <c r="DH111" s="66"/>
      <c r="DI111" s="168"/>
      <c r="DJ111" s="67"/>
      <c r="DK111" s="69"/>
      <c r="DL111" s="69"/>
      <c r="DM111" s="69"/>
      <c r="DN111" s="69"/>
      <c r="DO111" s="69"/>
      <c r="DP111" s="69"/>
      <c r="DQ111" s="69"/>
      <c r="DR111" s="69"/>
      <c r="DS111" s="70"/>
      <c r="DT111" s="70"/>
      <c r="DU111" s="70"/>
      <c r="DV111" s="177"/>
      <c r="DW111" s="177"/>
      <c r="DX111" s="70"/>
      <c r="DY111" s="70"/>
      <c r="DZ111" s="71"/>
      <c r="EA111" s="71"/>
      <c r="EB111" s="180"/>
      <c r="EC111" s="180"/>
      <c r="ED111" s="71"/>
      <c r="EE111" s="180"/>
      <c r="EF111" s="66"/>
      <c r="EG111" s="66"/>
      <c r="EH111" s="79"/>
      <c r="EI111" s="66"/>
      <c r="EJ111" s="79"/>
      <c r="EK111" s="66"/>
      <c r="EL111" s="168"/>
      <c r="EM111" s="67"/>
      <c r="EN111" s="78">
        <f t="shared" si="32"/>
        <v>40.469003947062923</v>
      </c>
      <c r="EO111" s="78">
        <f t="shared" si="33"/>
        <v>-80.850131463628358</v>
      </c>
      <c r="EP111" s="78">
        <f t="shared" si="34"/>
        <v>20.729796283859407</v>
      </c>
      <c r="EQ111" s="78">
        <f t="shared" si="35"/>
        <v>124.29099356369765</v>
      </c>
      <c r="ER111" s="79">
        <f t="shared" si="36"/>
        <v>77.964008392382794</v>
      </c>
      <c r="ES111" s="66"/>
      <c r="ET111" s="66"/>
      <c r="EU111" s="66"/>
      <c r="EV111" s="79"/>
      <c r="EW111" s="79"/>
      <c r="EX111" s="66"/>
      <c r="EY111" s="66"/>
      <c r="EZ111" s="66"/>
      <c r="FA111" s="66"/>
      <c r="FB111" s="79"/>
    </row>
    <row r="112" spans="1:158" hidden="1" x14ac:dyDescent="0.3">
      <c r="A112" s="86">
        <v>44732</v>
      </c>
      <c r="B112" s="106">
        <f t="shared" si="29"/>
        <v>33</v>
      </c>
      <c r="C112" s="96">
        <v>78.438305709023936</v>
      </c>
      <c r="D112" s="93">
        <v>56.405797101449274</v>
      </c>
      <c r="E112" s="93"/>
      <c r="F112" s="96">
        <f t="shared" si="22"/>
        <v>22.032508607574663</v>
      </c>
      <c r="G112" s="96"/>
      <c r="H112" s="96"/>
      <c r="I112" s="96"/>
      <c r="J112" s="96"/>
      <c r="P112" s="70">
        <v>4.83575</v>
      </c>
      <c r="Q112" s="70">
        <v>52.746000000000002</v>
      </c>
      <c r="R112" s="71">
        <v>60.035020000000003</v>
      </c>
      <c r="S112" s="71">
        <f t="shared" si="26"/>
        <v>46.616107340860033</v>
      </c>
      <c r="X112" s="72"/>
      <c r="Y112" s="73">
        <f>68*3</f>
        <v>204</v>
      </c>
      <c r="Z112" s="73"/>
      <c r="AA112" s="72">
        <f t="shared" si="40"/>
        <v>92.351779550003982</v>
      </c>
      <c r="AB112" s="72"/>
      <c r="AC112" s="72"/>
      <c r="AD112" s="72"/>
      <c r="AE112" s="72"/>
      <c r="AF112" s="72"/>
      <c r="AH112" s="74">
        <v>7.41</v>
      </c>
      <c r="AI112" s="96">
        <v>79.587476979742164</v>
      </c>
      <c r="AJ112" s="96">
        <v>109.59420289855073</v>
      </c>
      <c r="AK112" s="96"/>
      <c r="AL112" s="96">
        <f t="shared" si="39"/>
        <v>-30.00672591880857</v>
      </c>
      <c r="AP112" s="70">
        <v>14.338089999999999</v>
      </c>
      <c r="AQ112" s="70">
        <v>8.9335000000000004</v>
      </c>
      <c r="AR112" s="71">
        <v>82.458129999999997</v>
      </c>
      <c r="AW112" s="72"/>
      <c r="AX112" s="75"/>
      <c r="AY112" s="75"/>
      <c r="AZ112" s="75"/>
      <c r="BA112" s="75"/>
      <c r="BB112" s="72"/>
      <c r="BC112" s="72"/>
      <c r="BD112" s="72"/>
      <c r="BE112" s="72"/>
      <c r="BF112" s="168">
        <v>2310.5790000000002</v>
      </c>
      <c r="BG112" s="74">
        <v>6.93</v>
      </c>
      <c r="BH112" s="93">
        <v>86.629834254143645</v>
      </c>
      <c r="BI112" s="93">
        <v>108.57971014492753</v>
      </c>
      <c r="BJ112" s="93"/>
      <c r="BK112" s="88">
        <f t="shared" si="24"/>
        <v>-21.949875890783886</v>
      </c>
      <c r="BL112" s="88"/>
      <c r="BM112" s="88"/>
      <c r="BN112" s="88"/>
      <c r="BO112" s="88"/>
      <c r="BU112" s="70">
        <v>18.688939999999999</v>
      </c>
      <c r="BV112" s="70">
        <v>13.4733</v>
      </c>
      <c r="BW112" s="71">
        <v>82.806430000000006</v>
      </c>
      <c r="BX112" s="71">
        <f t="shared" si="28"/>
        <v>64.297695401674105</v>
      </c>
      <c r="CC112" s="72"/>
      <c r="CD112" s="72">
        <v>85</v>
      </c>
      <c r="CE112" s="72"/>
      <c r="CF112" s="72">
        <f t="shared" si="31"/>
        <v>79.066775562494996</v>
      </c>
      <c r="CG112" s="72"/>
      <c r="CH112" s="72"/>
      <c r="CI112" s="72"/>
      <c r="CJ112" s="72"/>
      <c r="CL112" s="74">
        <v>6.93</v>
      </c>
      <c r="CM112" s="69"/>
      <c r="CN112" s="69"/>
      <c r="CO112" s="69"/>
      <c r="CP112" s="69"/>
      <c r="CQ112" s="76"/>
      <c r="CR112" s="76"/>
      <c r="CS112" s="177"/>
      <c r="CT112" s="70"/>
      <c r="CU112" s="76"/>
      <c r="CV112" s="77"/>
      <c r="CW112" s="77"/>
      <c r="CX112" s="77"/>
      <c r="CY112" s="77"/>
      <c r="CZ112" s="77"/>
      <c r="DA112" s="66"/>
      <c r="DB112" s="66"/>
      <c r="DC112" s="66"/>
      <c r="DD112" s="66"/>
      <c r="DE112" s="66"/>
      <c r="DF112" s="66"/>
      <c r="DG112" s="66"/>
      <c r="DH112" s="66"/>
      <c r="DI112" s="168"/>
      <c r="DJ112" s="67"/>
      <c r="DK112" s="69"/>
      <c r="DL112" s="69"/>
      <c r="DM112" s="69"/>
      <c r="DN112" s="69"/>
      <c r="DO112" s="69"/>
      <c r="DP112" s="69"/>
      <c r="DQ112" s="69"/>
      <c r="DR112" s="69"/>
      <c r="DS112" s="70"/>
      <c r="DT112" s="70"/>
      <c r="DU112" s="70"/>
      <c r="DV112" s="177"/>
      <c r="DW112" s="177"/>
      <c r="DX112" s="70"/>
      <c r="DY112" s="70"/>
      <c r="DZ112" s="71"/>
      <c r="EA112" s="71"/>
      <c r="EB112" s="180"/>
      <c r="EC112" s="180"/>
      <c r="ED112" s="71"/>
      <c r="EE112" s="180"/>
      <c r="EF112" s="66"/>
      <c r="EG112" s="66"/>
      <c r="EH112" s="79"/>
      <c r="EI112" s="66"/>
      <c r="EJ112" s="79"/>
      <c r="EK112" s="66"/>
      <c r="EL112" s="168"/>
      <c r="EM112" s="67"/>
      <c r="EN112" s="78">
        <f t="shared" si="32"/>
        <v>-10.443275732531937</v>
      </c>
      <c r="EO112" s="78">
        <f t="shared" si="33"/>
        <v>-92.497430626927027</v>
      </c>
      <c r="EP112" s="78" t="e">
        <f t="shared" si="34"/>
        <v>#DIV/0!</v>
      </c>
      <c r="EQ112" s="78">
        <f t="shared" si="35"/>
        <v>199.62495093834949</v>
      </c>
      <c r="ER112" s="79">
        <f t="shared" si="36"/>
        <v>14.385217103819645</v>
      </c>
      <c r="ES112" s="66"/>
      <c r="ET112" s="66"/>
      <c r="EU112" s="66"/>
      <c r="EV112" s="79"/>
      <c r="EW112" s="79"/>
      <c r="EX112" s="66"/>
      <c r="EY112" s="66"/>
      <c r="EZ112" s="66"/>
      <c r="FA112" s="66"/>
      <c r="FB112" s="79"/>
    </row>
    <row r="113" spans="1:158" hidden="1" x14ac:dyDescent="0.3">
      <c r="A113" s="86">
        <v>44735</v>
      </c>
      <c r="B113" s="106">
        <f t="shared" si="29"/>
        <v>36</v>
      </c>
      <c r="C113" s="96">
        <v>235.45297967619703</v>
      </c>
      <c r="D113" s="93">
        <v>56.77459333849729</v>
      </c>
      <c r="E113" s="93">
        <v>18.210313819049368</v>
      </c>
      <c r="F113" s="96">
        <f t="shared" si="22"/>
        <v>178.67838633769975</v>
      </c>
      <c r="G113" s="96"/>
      <c r="H113" s="96"/>
      <c r="I113" s="96"/>
      <c r="J113" s="96"/>
      <c r="N113" s="70">
        <v>0.25285730000000001</v>
      </c>
      <c r="O113" s="70">
        <f t="shared" ref="O113:O150" si="41">N113*0.2259</f>
        <v>5.7120464070000002E-2</v>
      </c>
      <c r="P113" s="70">
        <v>2.92239</v>
      </c>
      <c r="R113" s="71">
        <v>46.91216</v>
      </c>
      <c r="S113" s="71">
        <f t="shared" si="26"/>
        <v>36.426443868122313</v>
      </c>
      <c r="X113" s="72"/>
      <c r="Y113" s="73"/>
      <c r="Z113" s="73"/>
      <c r="AA113" s="72">
        <f t="shared" si="40"/>
        <v>648.31932878976397</v>
      </c>
      <c r="AB113" s="72"/>
      <c r="AC113" s="72"/>
      <c r="AD113" s="72"/>
      <c r="AE113" s="72"/>
      <c r="AF113" s="72"/>
      <c r="AH113" s="74">
        <v>7.2</v>
      </c>
      <c r="AI113" s="96">
        <v>97.058215638994142</v>
      </c>
      <c r="AJ113" s="96">
        <v>110.1750580945004</v>
      </c>
      <c r="AK113" s="96">
        <v>12.378785098183151</v>
      </c>
      <c r="AL113" s="96">
        <f t="shared" si="39"/>
        <v>-13.116842455506259</v>
      </c>
      <c r="AO113" s="70">
        <v>0.2075736</v>
      </c>
      <c r="AP113" s="70">
        <v>15.73601</v>
      </c>
      <c r="AR113" s="71">
        <v>62.203600000000002</v>
      </c>
      <c r="AW113" s="72"/>
      <c r="AX113" s="75"/>
      <c r="AY113" s="75"/>
      <c r="AZ113" s="75"/>
      <c r="BA113" s="75"/>
      <c r="BB113" s="72"/>
      <c r="BC113" s="72"/>
      <c r="BD113" s="72"/>
      <c r="BE113" s="72"/>
      <c r="BH113" s="93"/>
      <c r="BI113" s="93"/>
      <c r="BJ113" s="93"/>
      <c r="BK113" s="88"/>
      <c r="BL113" s="88"/>
      <c r="BM113" s="88"/>
      <c r="BN113" s="88"/>
      <c r="BO113" s="88"/>
      <c r="BS113" s="70">
        <v>0.28190559999999998</v>
      </c>
      <c r="BT113" s="70">
        <f t="shared" si="27"/>
        <v>6.3682475039999992E-2</v>
      </c>
      <c r="BU113" s="70">
        <v>16.326650000000001</v>
      </c>
      <c r="BW113" s="71">
        <v>61.79571</v>
      </c>
      <c r="BX113" s="71">
        <f t="shared" si="28"/>
        <v>47.983251285077571</v>
      </c>
      <c r="CC113" s="72"/>
      <c r="CD113" s="72"/>
      <c r="CE113" s="72"/>
      <c r="CF113" s="72">
        <f t="shared" si="31"/>
        <v>149.91</v>
      </c>
      <c r="CG113" s="72"/>
      <c r="CH113" s="72"/>
      <c r="CI113" s="72"/>
      <c r="CJ113" s="72"/>
      <c r="CL113" s="74">
        <v>6.87</v>
      </c>
      <c r="CM113" s="69"/>
      <c r="CN113" s="69"/>
      <c r="CO113" s="69"/>
      <c r="CP113" s="69"/>
      <c r="CQ113" s="76"/>
      <c r="CR113" s="76"/>
      <c r="CS113" s="177">
        <v>252.85730000000001</v>
      </c>
      <c r="CT113" s="70"/>
      <c r="CU113" s="76"/>
      <c r="CV113" s="77"/>
      <c r="CW113" s="77"/>
      <c r="CX113" s="77"/>
      <c r="CY113" s="77"/>
      <c r="CZ113" s="77"/>
      <c r="DA113" s="66"/>
      <c r="DB113" s="66"/>
      <c r="DC113" s="66"/>
      <c r="DD113" s="66"/>
      <c r="DE113" s="66"/>
      <c r="DF113" s="66"/>
      <c r="DG113" s="66"/>
      <c r="DH113" s="66"/>
      <c r="DI113" s="168"/>
      <c r="DJ113" s="67"/>
      <c r="DK113" s="69"/>
      <c r="DL113" s="69"/>
      <c r="DM113" s="69"/>
      <c r="DN113" s="69"/>
      <c r="DO113" s="69"/>
      <c r="DP113" s="69"/>
      <c r="DQ113" s="69"/>
      <c r="DR113" s="69"/>
      <c r="DS113" s="70"/>
      <c r="DT113" s="70"/>
      <c r="DU113" s="70"/>
      <c r="DV113" s="177"/>
      <c r="DW113" s="177"/>
      <c r="DX113" s="70"/>
      <c r="DY113" s="70"/>
      <c r="DZ113" s="71"/>
      <c r="EA113" s="71"/>
      <c r="EB113" s="180"/>
      <c r="EC113" s="180"/>
      <c r="ED113" s="71"/>
      <c r="EE113" s="180"/>
      <c r="EF113" s="66"/>
      <c r="EG113" s="66"/>
      <c r="EH113" s="79"/>
      <c r="EI113" s="66"/>
      <c r="EJ113" s="79"/>
      <c r="EK113" s="66"/>
      <c r="EL113" s="168"/>
      <c r="EM113" s="67"/>
      <c r="EN113" s="78">
        <f t="shared" si="32"/>
        <v>100</v>
      </c>
      <c r="EO113" s="78">
        <f t="shared" si="33"/>
        <v>100</v>
      </c>
      <c r="EP113" s="78">
        <f t="shared" si="34"/>
        <v>100</v>
      </c>
      <c r="EQ113" s="78">
        <f t="shared" si="35"/>
        <v>100</v>
      </c>
      <c r="ER113" s="79">
        <f t="shared" si="36"/>
        <v>76.87713548817969</v>
      </c>
      <c r="ES113" s="66"/>
      <c r="ET113" s="79"/>
      <c r="EU113" s="79"/>
      <c r="EV113" s="79"/>
      <c r="EW113" s="79"/>
      <c r="EX113" s="66"/>
      <c r="EY113" s="66"/>
      <c r="EZ113" s="66"/>
      <c r="FA113" s="66"/>
      <c r="FB113" s="79"/>
    </row>
    <row r="114" spans="1:158" hidden="1" x14ac:dyDescent="0.3">
      <c r="A114" s="86">
        <v>44739</v>
      </c>
      <c r="B114" s="106">
        <f t="shared" si="29"/>
        <v>40</v>
      </c>
      <c r="C114" s="96">
        <v>129.38950988822012</v>
      </c>
      <c r="D114" s="93">
        <v>48.138555156810739</v>
      </c>
      <c r="E114" s="93">
        <v>11.143559718969556</v>
      </c>
      <c r="F114" s="96">
        <f t="shared" si="22"/>
        <v>81.250954731409379</v>
      </c>
      <c r="G114" s="96"/>
      <c r="H114" s="96"/>
      <c r="I114" s="96"/>
      <c r="J114" s="96"/>
      <c r="N114" s="70">
        <v>0.1765119</v>
      </c>
      <c r="O114" s="70">
        <f t="shared" si="41"/>
        <v>3.9874038209999997E-2</v>
      </c>
      <c r="P114" s="70">
        <v>10.046379999999999</v>
      </c>
      <c r="R114" s="71">
        <v>45.401240000000001</v>
      </c>
      <c r="S114" s="71">
        <f t="shared" si="26"/>
        <v>35.253241811998201</v>
      </c>
      <c r="X114" s="72"/>
      <c r="Y114" s="73"/>
      <c r="Z114" s="73"/>
      <c r="AA114" s="72">
        <f t="shared" si="40"/>
        <v>302.52988853271813</v>
      </c>
      <c r="AB114" s="72"/>
      <c r="AC114" s="72"/>
      <c r="AD114" s="72"/>
      <c r="AE114" s="72"/>
      <c r="AF114" s="72"/>
      <c r="AH114" s="74">
        <v>6.65</v>
      </c>
      <c r="AI114" s="96">
        <v>82.880481513327609</v>
      </c>
      <c r="AJ114" s="96">
        <v>112.22967701669529</v>
      </c>
      <c r="AK114" s="96">
        <v>13.019437939110068</v>
      </c>
      <c r="AL114" s="96">
        <f t="shared" si="39"/>
        <v>-29.349195503367682</v>
      </c>
      <c r="AO114" s="70">
        <v>0.1862309</v>
      </c>
      <c r="AP114" s="70">
        <v>18.187349999999999</v>
      </c>
      <c r="AR114" s="71">
        <v>63.013820000000003</v>
      </c>
      <c r="AW114" s="72"/>
      <c r="AX114" s="75"/>
      <c r="AY114" s="75"/>
      <c r="AZ114" s="75"/>
      <c r="BA114" s="75"/>
      <c r="BB114" s="72"/>
      <c r="BC114" s="72"/>
      <c r="BD114" s="72"/>
      <c r="BE114" s="72"/>
      <c r="BH114" s="93"/>
      <c r="BI114" s="93"/>
      <c r="BJ114" s="93"/>
      <c r="BK114" s="88"/>
      <c r="BL114" s="88"/>
      <c r="BM114" s="88"/>
      <c r="BN114" s="88"/>
      <c r="BO114" s="88"/>
      <c r="BS114" s="70">
        <v>0.21808520000000001</v>
      </c>
      <c r="BT114" s="70">
        <f t="shared" si="27"/>
        <v>4.9265446679999998E-2</v>
      </c>
      <c r="BU114" s="70">
        <v>20.987549999999999</v>
      </c>
      <c r="BW114" s="71">
        <v>59.799370000000003</v>
      </c>
      <c r="BX114" s="71">
        <f t="shared" si="28"/>
        <v>46.433129377416805</v>
      </c>
      <c r="CC114" s="72"/>
      <c r="CD114" s="72"/>
      <c r="CE114" s="72"/>
      <c r="CF114" s="72">
        <f t="shared" si="31"/>
        <v>149.91</v>
      </c>
      <c r="CG114" s="72"/>
      <c r="CH114" s="72"/>
      <c r="CI114" s="72"/>
      <c r="CJ114" s="72"/>
      <c r="CL114" s="74">
        <v>7</v>
      </c>
      <c r="CM114" s="69"/>
      <c r="CN114" s="69"/>
      <c r="CO114" s="69"/>
      <c r="CP114" s="69"/>
      <c r="CQ114" s="76"/>
      <c r="CR114" s="76"/>
      <c r="CS114" s="177"/>
      <c r="CT114" s="70"/>
      <c r="CU114" s="76"/>
      <c r="CV114" s="77"/>
      <c r="CW114" s="77"/>
      <c r="CX114" s="77"/>
      <c r="CY114" s="77"/>
      <c r="CZ114" s="77"/>
      <c r="DA114" s="66"/>
      <c r="DB114" s="66"/>
      <c r="DC114" s="66"/>
      <c r="DD114" s="66"/>
      <c r="DE114" s="66"/>
      <c r="DF114" s="66"/>
      <c r="DG114" s="66"/>
      <c r="DH114" s="66"/>
      <c r="DI114" s="168"/>
      <c r="DJ114" s="67"/>
      <c r="DK114" s="69"/>
      <c r="DL114" s="69"/>
      <c r="DM114" s="69"/>
      <c r="DN114" s="69"/>
      <c r="DO114" s="69"/>
      <c r="DP114" s="69"/>
      <c r="DQ114" s="69"/>
      <c r="DR114" s="69"/>
      <c r="DS114" s="70"/>
      <c r="DT114" s="70"/>
      <c r="DU114" s="70"/>
      <c r="DV114" s="177"/>
      <c r="DW114" s="177"/>
      <c r="DX114" s="70"/>
      <c r="DY114" s="70"/>
      <c r="DZ114" s="71"/>
      <c r="EA114" s="71"/>
      <c r="EB114" s="180"/>
      <c r="EC114" s="180"/>
      <c r="ED114" s="71"/>
      <c r="EE114" s="180"/>
      <c r="EF114" s="66"/>
      <c r="EG114" s="66"/>
      <c r="EH114" s="79"/>
      <c r="EI114" s="66"/>
      <c r="EJ114" s="79"/>
      <c r="EK114" s="66"/>
      <c r="EL114" s="168"/>
      <c r="EM114" s="67"/>
      <c r="EN114" s="78">
        <f t="shared" si="32"/>
        <v>100</v>
      </c>
      <c r="EO114" s="78">
        <f t="shared" si="33"/>
        <v>100</v>
      </c>
      <c r="EP114" s="78">
        <f t="shared" si="34"/>
        <v>100</v>
      </c>
      <c r="EQ114" s="78">
        <f t="shared" si="35"/>
        <v>100</v>
      </c>
      <c r="ER114" s="79">
        <f t="shared" si="36"/>
        <v>50.447871208008763</v>
      </c>
      <c r="ES114" s="66"/>
      <c r="ET114" s="66"/>
      <c r="EU114" s="66"/>
      <c r="EV114" s="79"/>
      <c r="EW114" s="79"/>
      <c r="EX114" s="66"/>
      <c r="EY114" s="66"/>
      <c r="EZ114" s="66"/>
      <c r="FA114" s="66"/>
      <c r="FB114" s="79"/>
    </row>
    <row r="115" spans="1:158" s="116" customFormat="1" hidden="1" x14ac:dyDescent="0.3">
      <c r="A115" s="105">
        <v>44741</v>
      </c>
      <c r="B115" s="106">
        <f t="shared" si="29"/>
        <v>42</v>
      </c>
      <c r="C115" s="107">
        <v>124.70765262252796</v>
      </c>
      <c r="D115" s="108">
        <v>46.397253861756916</v>
      </c>
      <c r="E115" s="108">
        <v>12.011943793911007</v>
      </c>
      <c r="F115" s="107">
        <f t="shared" si="22"/>
        <v>78.310398760771051</v>
      </c>
      <c r="G115" s="107"/>
      <c r="H115" s="107"/>
      <c r="I115" s="107"/>
      <c r="J115" s="107"/>
      <c r="K115" s="109"/>
      <c r="L115" s="109"/>
      <c r="M115" s="109"/>
      <c r="N115" s="109">
        <v>0.26155489999999998</v>
      </c>
      <c r="O115" s="70">
        <f t="shared" si="41"/>
        <v>5.908525190999999E-2</v>
      </c>
      <c r="P115" s="109">
        <v>7.7328799999999998</v>
      </c>
      <c r="Q115" s="109"/>
      <c r="R115" s="109">
        <v>44.581229999999998</v>
      </c>
      <c r="S115" s="71">
        <f t="shared" si="26"/>
        <v>34.616518876275371</v>
      </c>
      <c r="T115" s="109"/>
      <c r="U115" s="109"/>
      <c r="V115" s="109"/>
      <c r="W115" s="109"/>
      <c r="X115" s="109"/>
      <c r="Y115" s="110"/>
      <c r="Z115" s="110"/>
      <c r="AA115" s="109">
        <f t="shared" si="40"/>
        <v>292.09326728172863</v>
      </c>
      <c r="AB115" s="109"/>
      <c r="AC115" s="109"/>
      <c r="AD115" s="109"/>
      <c r="AE115" s="109"/>
      <c r="AF115" s="109"/>
      <c r="AG115" s="168"/>
      <c r="AH115" s="109">
        <v>6.87</v>
      </c>
      <c r="AI115" s="107">
        <v>94.256233877901977</v>
      </c>
      <c r="AJ115" s="107">
        <v>119.64425027305354</v>
      </c>
      <c r="AK115" s="107">
        <v>13.464168618266978</v>
      </c>
      <c r="AL115" s="107">
        <f t="shared" si="39"/>
        <v>-25.388016395151567</v>
      </c>
      <c r="AM115" s="109"/>
      <c r="AN115" s="109"/>
      <c r="AO115" s="109">
        <v>1.0562849999999999</v>
      </c>
      <c r="AP115" s="109">
        <v>20.333159999999999</v>
      </c>
      <c r="AQ115" s="109"/>
      <c r="AR115" s="109">
        <v>66.307180000000002</v>
      </c>
      <c r="AS115" s="109"/>
      <c r="AT115" s="109"/>
      <c r="AU115" s="109"/>
      <c r="AV115" s="109"/>
      <c r="AW115" s="109"/>
      <c r="AX115" s="113"/>
      <c r="AY115" s="113"/>
      <c r="AZ115" s="113"/>
      <c r="BA115" s="113"/>
      <c r="BB115" s="109"/>
      <c r="BC115" s="109"/>
      <c r="BD115" s="109"/>
      <c r="BE115" s="109"/>
      <c r="BF115" s="168">
        <v>430.12920000000003</v>
      </c>
      <c r="BG115" s="109">
        <v>7.05</v>
      </c>
      <c r="BH115" s="108">
        <v>101.84006878761824</v>
      </c>
      <c r="BI115" s="108">
        <v>110.65688875019505</v>
      </c>
      <c r="BJ115" s="108">
        <v>10.907494145199061</v>
      </c>
      <c r="BK115" s="114">
        <f t="shared" si="24"/>
        <v>-8.8168199625768153</v>
      </c>
      <c r="BL115" s="114"/>
      <c r="BM115" s="114"/>
      <c r="BN115" s="114"/>
      <c r="BO115" s="114"/>
      <c r="BP115" s="109"/>
      <c r="BQ115" s="109"/>
      <c r="BR115" s="109"/>
      <c r="BS115" s="109">
        <v>0.1829143</v>
      </c>
      <c r="BT115" s="70">
        <f t="shared" si="27"/>
        <v>4.132034037E-2</v>
      </c>
      <c r="BU115" s="109">
        <v>20.29871</v>
      </c>
      <c r="BV115" s="109"/>
      <c r="BW115" s="109">
        <v>65.593090000000004</v>
      </c>
      <c r="BX115" s="71">
        <f t="shared" si="28"/>
        <v>50.931848182255841</v>
      </c>
      <c r="BY115" s="109"/>
      <c r="BZ115" s="109"/>
      <c r="CA115" s="109"/>
      <c r="CB115" s="109"/>
      <c r="CC115" s="109"/>
      <c r="CD115" s="109"/>
      <c r="CE115" s="109"/>
      <c r="CF115" s="109">
        <f t="shared" si="31"/>
        <v>121.45371357078332</v>
      </c>
      <c r="CG115" s="109"/>
      <c r="CH115" s="109"/>
      <c r="CI115" s="109"/>
      <c r="CJ115" s="109"/>
      <c r="CK115" s="168"/>
      <c r="CL115" s="109">
        <v>7.07</v>
      </c>
      <c r="CM115" s="109">
        <v>36.843508168529667</v>
      </c>
      <c r="CN115" s="109">
        <v>12.388516149165236</v>
      </c>
      <c r="CO115" s="109">
        <v>36.948477751756442</v>
      </c>
      <c r="CP115" s="107">
        <f t="shared" ref="CP115:CP123" si="42">CM115-CN115</f>
        <v>24.454992019364433</v>
      </c>
      <c r="CQ115" s="115"/>
      <c r="CR115" s="115"/>
      <c r="CS115" s="113">
        <v>148.35390000000001</v>
      </c>
      <c r="CT115" s="109">
        <v>1.96438</v>
      </c>
      <c r="CU115" s="115"/>
      <c r="CV115" s="115">
        <v>2.0168490000000001</v>
      </c>
      <c r="CW115" s="115"/>
      <c r="CX115" s="115"/>
      <c r="CY115" s="115"/>
      <c r="CZ115" s="115"/>
      <c r="DA115" s="115"/>
      <c r="DB115" s="115"/>
      <c r="DC115" s="115"/>
      <c r="DD115" s="115"/>
      <c r="DE115" s="115"/>
      <c r="DF115" s="115"/>
      <c r="DG115" s="115"/>
      <c r="DH115" s="115"/>
      <c r="DI115" s="168">
        <v>47.594250000000002</v>
      </c>
      <c r="DJ115" s="115">
        <v>6.89</v>
      </c>
      <c r="DK115" s="109">
        <v>17.308684436801375</v>
      </c>
      <c r="DL115" s="109">
        <v>2.3105008581682012</v>
      </c>
      <c r="DM115" s="109">
        <v>42.639344262295076</v>
      </c>
      <c r="DN115" s="107">
        <f>DK115-DL115</f>
        <v>14.998183578633174</v>
      </c>
      <c r="DO115" s="107"/>
      <c r="DP115" s="107"/>
      <c r="DQ115" s="107"/>
      <c r="DR115" s="107"/>
      <c r="DS115" s="109"/>
      <c r="DT115" s="109"/>
      <c r="DU115" s="109"/>
      <c r="DV115" s="113">
        <v>200.8664</v>
      </c>
      <c r="DW115" s="177">
        <f t="shared" ref="DW115:DW150" si="43">DV115*0.2259</f>
        <v>45.375719759999996</v>
      </c>
      <c r="DX115" s="109">
        <v>1.35415</v>
      </c>
      <c r="DY115" s="109"/>
      <c r="DZ115" s="109">
        <v>0.11213529999999999</v>
      </c>
      <c r="EA115" s="71">
        <f t="shared" ref="EA115:EA150" si="44">DZ115/1.28786</f>
        <v>8.7071032565651546E-2</v>
      </c>
      <c r="EB115" s="113"/>
      <c r="EC115" s="113"/>
      <c r="ED115" s="109"/>
      <c r="EE115" s="113"/>
      <c r="EF115" s="115"/>
      <c r="EG115" s="115"/>
      <c r="EH115" s="109">
        <f xml:space="preserve"> 4.4893*DN115 - 19.29</f>
        <v>48.041345539557916</v>
      </c>
      <c r="EI115" s="115"/>
      <c r="EJ115" s="109"/>
      <c r="EK115" s="115"/>
      <c r="EL115" s="168"/>
      <c r="EM115" s="115">
        <v>6.51</v>
      </c>
      <c r="EN115" s="109">
        <f t="shared" si="32"/>
        <v>18.336953149239843</v>
      </c>
      <c r="EO115" s="109">
        <f t="shared" si="33"/>
        <v>-138.49878934624695</v>
      </c>
      <c r="EP115" s="109">
        <f t="shared" si="34"/>
        <v>9.194595543077746</v>
      </c>
      <c r="EQ115" s="109">
        <f t="shared" si="35"/>
        <v>111.25881122060322</v>
      </c>
      <c r="ER115" s="109">
        <f t="shared" si="36"/>
        <v>58.419543626919932</v>
      </c>
      <c r="ES115" s="115"/>
      <c r="ET115" s="115"/>
      <c r="EU115" s="115"/>
      <c r="EV115" s="109">
        <f t="shared" ref="EV115:EV137" si="45">(F115-DN115)/F115*100</f>
        <v>80.847775243169366</v>
      </c>
      <c r="EW115" s="109">
        <f>(CF115-EH115)/CF115*100</f>
        <v>60.44472900241179</v>
      </c>
      <c r="EX115" s="115"/>
      <c r="EY115" s="115"/>
      <c r="EZ115" s="115"/>
      <c r="FA115" s="115"/>
      <c r="FB115" s="109">
        <f t="shared" ref="FB115:FB137" si="46">(AA115-EH115)/AA115*100</f>
        <v>83.55273779959424</v>
      </c>
    </row>
    <row r="116" spans="1:158" hidden="1" x14ac:dyDescent="0.3">
      <c r="A116" s="86">
        <v>44742</v>
      </c>
      <c r="B116" s="106">
        <f t="shared" si="29"/>
        <v>43</v>
      </c>
      <c r="C116" s="96">
        <v>104.07821229050279</v>
      </c>
      <c r="D116" s="93">
        <v>54.489325756412228</v>
      </c>
      <c r="E116" s="93">
        <v>14.093306288032455</v>
      </c>
      <c r="F116" s="96">
        <f t="shared" si="22"/>
        <v>49.588886534090562</v>
      </c>
      <c r="G116" s="96"/>
      <c r="H116" s="96"/>
      <c r="I116" s="96"/>
      <c r="J116" s="96"/>
      <c r="K116" s="70">
        <v>58.234900000000003</v>
      </c>
      <c r="N116" s="70">
        <v>0.19756180000000001</v>
      </c>
      <c r="O116" s="70">
        <f t="shared" si="41"/>
        <v>4.4629210619999998E-2</v>
      </c>
      <c r="P116" s="70">
        <v>8.2978400000000008</v>
      </c>
      <c r="Q116" s="70">
        <v>31.817799999999998</v>
      </c>
      <c r="R116" s="71">
        <v>55.215890000000002</v>
      </c>
      <c r="S116" s="71">
        <f t="shared" si="26"/>
        <v>42.87414004627832</v>
      </c>
      <c r="X116" s="72"/>
      <c r="Y116" s="73"/>
      <c r="Z116" s="73"/>
      <c r="AA116" s="72">
        <f t="shared" si="40"/>
        <v>190.15487608679422</v>
      </c>
      <c r="AB116" s="72"/>
      <c r="AC116" s="72"/>
      <c r="AD116" s="72"/>
      <c r="AE116" s="72"/>
      <c r="AF116" s="72"/>
      <c r="AH116" s="74">
        <v>7.04</v>
      </c>
      <c r="AI116" s="97">
        <v>91.795690343176375</v>
      </c>
      <c r="AJ116" s="97">
        <v>125.84242051912149</v>
      </c>
      <c r="AK116" s="97">
        <v>13.599331821978282</v>
      </c>
      <c r="AL116" s="96">
        <f t="shared" si="39"/>
        <v>-34.046730175945115</v>
      </c>
      <c r="AW116" s="72"/>
      <c r="AX116" s="75"/>
      <c r="AY116" s="75"/>
      <c r="AZ116" s="75"/>
      <c r="BA116" s="75"/>
      <c r="BB116" s="72"/>
      <c r="BC116" s="72"/>
      <c r="BD116" s="72"/>
      <c r="BE116" s="72"/>
      <c r="BG116" s="74">
        <v>6.69</v>
      </c>
      <c r="BH116" s="93">
        <v>84.648842777334409</v>
      </c>
      <c r="BI116" s="93">
        <v>120.42389801873753</v>
      </c>
      <c r="BJ116" s="93">
        <v>14.879370003579524</v>
      </c>
      <c r="BK116" s="88">
        <f t="shared" si="24"/>
        <v>-35.775055241403123</v>
      </c>
      <c r="BL116" s="88"/>
      <c r="BM116" s="88"/>
      <c r="BN116" s="88"/>
      <c r="BO116" s="88"/>
      <c r="BS116" s="70">
        <v>0.23053850000000001</v>
      </c>
      <c r="BT116" s="70">
        <f t="shared" si="27"/>
        <v>5.2078647149999997E-2</v>
      </c>
      <c r="BU116" s="70">
        <v>15.585570000000001</v>
      </c>
      <c r="BV116" s="70">
        <v>8.8193000000000001</v>
      </c>
      <c r="BW116" s="71">
        <v>68.920910000000006</v>
      </c>
      <c r="BX116" s="71">
        <f t="shared" si="28"/>
        <v>53.515840231081022</v>
      </c>
      <c r="CC116" s="72"/>
      <c r="CD116" s="72"/>
      <c r="CE116" s="72"/>
      <c r="CF116" s="153"/>
      <c r="CG116" s="72"/>
      <c r="CH116" s="72"/>
      <c r="CI116" s="72"/>
      <c r="CJ116" s="72"/>
      <c r="CL116" s="74">
        <v>6.71</v>
      </c>
      <c r="CM116" s="69">
        <v>69.134078212290504</v>
      </c>
      <c r="CN116" s="69">
        <v>23.327292274612198</v>
      </c>
      <c r="CO116" s="69">
        <v>90.010738575348995</v>
      </c>
      <c r="CP116" s="69">
        <f t="shared" si="42"/>
        <v>45.806785937678306</v>
      </c>
      <c r="CQ116" s="76"/>
      <c r="CR116" s="76"/>
      <c r="CS116" s="177"/>
      <c r="CT116" s="70"/>
      <c r="CU116" s="76"/>
      <c r="CV116" s="77"/>
      <c r="CW116" s="77"/>
      <c r="CX116" s="77"/>
      <c r="CY116" s="77"/>
      <c r="CZ116" s="77"/>
      <c r="DA116" s="66"/>
      <c r="DB116" s="66"/>
      <c r="DC116" s="66"/>
      <c r="DD116" s="66"/>
      <c r="DE116" s="66"/>
      <c r="DF116" s="66"/>
      <c r="DG116" s="66"/>
      <c r="DH116" s="66"/>
      <c r="DI116" s="168"/>
      <c r="DJ116" s="67">
        <v>6.87</v>
      </c>
      <c r="DK116" s="69">
        <v>25.606544293695134</v>
      </c>
      <c r="DL116" s="69">
        <v>7.0385501459069264</v>
      </c>
      <c r="DM116" s="69">
        <v>105.25951557093424</v>
      </c>
      <c r="DN116" s="69">
        <f t="shared" ref="DN116:DN150" si="47">DK116-DL116</f>
        <v>18.567994147788205</v>
      </c>
      <c r="DO116" s="69"/>
      <c r="DP116" s="69"/>
      <c r="DQ116" s="69"/>
      <c r="DR116" s="69"/>
      <c r="DS116" s="70"/>
      <c r="DT116" s="70"/>
      <c r="DU116" s="70"/>
      <c r="DV116" s="177">
        <v>462.95800000000003</v>
      </c>
      <c r="DW116" s="177">
        <f t="shared" si="43"/>
        <v>104.5822122</v>
      </c>
      <c r="DX116" s="70">
        <v>4.5307700000000004</v>
      </c>
      <c r="DY116" s="70">
        <v>104.5123</v>
      </c>
      <c r="DZ116" s="71">
        <v>1.2538</v>
      </c>
      <c r="EA116" s="71">
        <f t="shared" si="44"/>
        <v>0.97355302595002569</v>
      </c>
      <c r="EB116" s="180"/>
      <c r="EC116" s="180"/>
      <c r="ED116" s="71"/>
      <c r="EE116" s="180"/>
      <c r="EF116" s="66"/>
      <c r="EG116" s="66"/>
      <c r="EH116" s="79">
        <f t="shared" ref="EH116:EH150" si="48" xml:space="preserve"> 4.4893*DN116 - 19.29</f>
        <v>64.0672961276656</v>
      </c>
      <c r="EI116" s="66"/>
      <c r="EJ116" s="79"/>
      <c r="EK116" s="66"/>
      <c r="EL116" s="168"/>
      <c r="EM116" s="67">
        <v>6.93</v>
      </c>
      <c r="EN116" s="78">
        <f t="shared" si="32"/>
        <v>18.668046928916482</v>
      </c>
      <c r="EO116" s="78">
        <f t="shared" si="33"/>
        <v>-121.00456621004567</v>
      </c>
      <c r="EP116" s="78">
        <f t="shared" si="34"/>
        <v>-5.5775678146906307</v>
      </c>
      <c r="EQ116" s="78">
        <f t="shared" si="35"/>
        <v>172.14329205962119</v>
      </c>
      <c r="ER116" s="79"/>
      <c r="ES116" s="66"/>
      <c r="ET116" s="66"/>
      <c r="EU116" s="66"/>
      <c r="EV116" s="79">
        <f t="shared" si="45"/>
        <v>62.55613818829471</v>
      </c>
      <c r="EW116" s="79"/>
      <c r="EX116" s="66"/>
      <c r="EY116" s="66"/>
      <c r="EZ116" s="66"/>
      <c r="FA116" s="66"/>
      <c r="FB116" s="79">
        <f t="shared" si="46"/>
        <v>66.307834200148122</v>
      </c>
    </row>
    <row r="117" spans="1:158" hidden="1" x14ac:dyDescent="0.3">
      <c r="A117" s="86">
        <v>44743</v>
      </c>
      <c r="B117" s="106">
        <f t="shared" si="29"/>
        <v>44</v>
      </c>
      <c r="C117" s="96">
        <v>337.69752593774945</v>
      </c>
      <c r="D117" s="93">
        <v>44.730456151128863</v>
      </c>
      <c r="E117" s="93">
        <v>14.222169192220498</v>
      </c>
      <c r="F117" s="96">
        <f t="shared" si="22"/>
        <v>292.96706978662058</v>
      </c>
      <c r="G117" s="96"/>
      <c r="H117" s="96"/>
      <c r="I117" s="96"/>
      <c r="J117" s="96"/>
      <c r="K117" s="70">
        <v>56.214199999999998</v>
      </c>
      <c r="N117" s="70">
        <v>0.25144729999999998</v>
      </c>
      <c r="O117" s="70">
        <f t="shared" si="41"/>
        <v>5.6801945069999991E-2</v>
      </c>
      <c r="P117" s="70">
        <v>5.5692500000000003</v>
      </c>
      <c r="Q117" s="70">
        <v>39.987299999999998</v>
      </c>
      <c r="R117" s="71">
        <v>52.314689999999999</v>
      </c>
      <c r="S117" s="71">
        <f t="shared" si="26"/>
        <v>40.621410712344506</v>
      </c>
      <c r="X117" s="72"/>
      <c r="Y117" s="73"/>
      <c r="Z117" s="73"/>
      <c r="AA117" s="72">
        <f t="shared" si="40"/>
        <v>1053.9527240866737</v>
      </c>
      <c r="AB117" s="72"/>
      <c r="AC117" s="72"/>
      <c r="AD117" s="72"/>
      <c r="AE117" s="72"/>
      <c r="AF117" s="72"/>
      <c r="AH117" s="74">
        <v>7.19</v>
      </c>
      <c r="AI117" s="97">
        <v>108.96249002394254</v>
      </c>
      <c r="AJ117" s="97">
        <v>106.15880817078789</v>
      </c>
      <c r="AK117" s="97">
        <v>12.523326572008116</v>
      </c>
      <c r="AL117" s="96">
        <f t="shared" si="39"/>
        <v>2.803681853154643</v>
      </c>
      <c r="AW117" s="72"/>
      <c r="AX117" s="75"/>
      <c r="AY117" s="75"/>
      <c r="AZ117" s="75"/>
      <c r="BA117" s="75"/>
      <c r="BB117" s="72"/>
      <c r="BC117" s="72"/>
      <c r="BD117" s="72"/>
      <c r="BE117" s="72"/>
      <c r="BF117" s="168">
        <v>402.66829999999999</v>
      </c>
      <c r="BG117" s="74">
        <v>6.91</v>
      </c>
      <c r="BH117" s="93">
        <v>98.188347964884287</v>
      </c>
      <c r="BI117" s="93">
        <v>105.24650591307021</v>
      </c>
      <c r="BJ117" s="93">
        <v>12.057272401861352</v>
      </c>
      <c r="BK117" s="88">
        <f t="shared" si="24"/>
        <v>-7.0581579481859222</v>
      </c>
      <c r="BL117" s="88"/>
      <c r="BM117" s="88"/>
      <c r="BN117" s="88"/>
      <c r="BO117" s="88"/>
      <c r="BS117" s="70">
        <v>0.34860409999999997</v>
      </c>
      <c r="BT117" s="70">
        <f t="shared" si="27"/>
        <v>7.8749666189999984E-2</v>
      </c>
      <c r="BU117" s="70">
        <v>17.823840000000001</v>
      </c>
      <c r="BV117" s="70">
        <v>2.1086999999999998</v>
      </c>
      <c r="BW117" s="71">
        <v>68.464280000000002</v>
      </c>
      <c r="BX117" s="71">
        <f t="shared" si="28"/>
        <v>53.161275293898406</v>
      </c>
      <c r="CC117" s="72"/>
      <c r="CD117" s="72"/>
      <c r="CE117" s="72"/>
      <c r="CF117" s="72">
        <f t="shared" ref="CF117:CF150" si="49" xml:space="preserve"> 3.2275*BK117 + 149.91</f>
        <v>127.12979522222993</v>
      </c>
      <c r="CG117" s="72"/>
      <c r="CH117" s="72"/>
      <c r="CI117" s="72"/>
      <c r="CJ117" s="72"/>
      <c r="CL117" s="74">
        <v>7.26</v>
      </c>
      <c r="CM117" s="69">
        <v>59.114126097366324</v>
      </c>
      <c r="CN117" s="69">
        <v>16.656427584088469</v>
      </c>
      <c r="CO117" s="69">
        <v>109.03949409378356</v>
      </c>
      <c r="CP117" s="69">
        <f t="shared" si="42"/>
        <v>42.457698513277855</v>
      </c>
      <c r="CQ117" s="76"/>
      <c r="CR117" s="76"/>
      <c r="CS117" s="177"/>
      <c r="CT117" s="70"/>
      <c r="CU117" s="76"/>
      <c r="CV117" s="77"/>
      <c r="CW117" s="77"/>
      <c r="CX117" s="77"/>
      <c r="CY117" s="77"/>
      <c r="CZ117" s="77"/>
      <c r="DA117" s="66"/>
      <c r="DB117" s="66"/>
      <c r="DC117" s="66"/>
      <c r="DD117" s="66"/>
      <c r="DE117" s="66"/>
      <c r="DF117" s="66"/>
      <c r="DG117" s="66"/>
      <c r="DH117" s="66"/>
      <c r="DI117" s="168">
        <v>94.884600000000006</v>
      </c>
      <c r="DJ117" s="67">
        <v>7.44</v>
      </c>
      <c r="DK117" s="69">
        <v>30.914604948124502</v>
      </c>
      <c r="DL117" s="69">
        <v>13.504837966518199</v>
      </c>
      <c r="DM117" s="69">
        <v>113.03424412361295</v>
      </c>
      <c r="DN117" s="69">
        <f t="shared" si="47"/>
        <v>17.409766981606303</v>
      </c>
      <c r="DO117" s="69"/>
      <c r="DP117" s="69"/>
      <c r="DQ117" s="69"/>
      <c r="DR117" s="69"/>
      <c r="DS117" s="70"/>
      <c r="DT117" s="70"/>
      <c r="DU117" s="70"/>
      <c r="DV117" s="177">
        <v>472.46190000000001</v>
      </c>
      <c r="DW117" s="177">
        <f t="shared" si="43"/>
        <v>106.72914321</v>
      </c>
      <c r="DX117" s="70">
        <v>8.1639300000000006</v>
      </c>
      <c r="DY117" s="70">
        <v>96.627099999999999</v>
      </c>
      <c r="DZ117" s="71">
        <v>12.608549999999999</v>
      </c>
      <c r="EA117" s="71">
        <f t="shared" si="44"/>
        <v>9.790311058655444</v>
      </c>
      <c r="EB117" s="180"/>
      <c r="EC117" s="180"/>
      <c r="ED117" s="71"/>
      <c r="EE117" s="180"/>
      <c r="EF117" s="66"/>
      <c r="EG117" s="66"/>
      <c r="EH117" s="79">
        <f t="shared" si="48"/>
        <v>58.86766691052518</v>
      </c>
      <c r="EI117" s="66"/>
      <c r="EJ117" s="79"/>
      <c r="EK117" s="66"/>
      <c r="EL117" s="168"/>
      <c r="EM117" s="67">
        <v>7.77</v>
      </c>
      <c r="EN117" s="78">
        <f t="shared" si="32"/>
        <v>70.924173136233122</v>
      </c>
      <c r="EO117" s="78">
        <f t="shared" si="33"/>
        <v>-135.29048207663786</v>
      </c>
      <c r="EP117" s="78">
        <f t="shared" si="34"/>
        <v>15.221987315010571</v>
      </c>
      <c r="EQ117" s="78">
        <f t="shared" si="35"/>
        <v>102.40919839670946</v>
      </c>
      <c r="ER117" s="79">
        <f t="shared" ref="ER117:ER126" si="50">(AA117-CF117)/AA117*100</f>
        <v>87.937808564193702</v>
      </c>
      <c r="ES117" s="66"/>
      <c r="ET117" s="66"/>
      <c r="EU117" s="66"/>
      <c r="EV117" s="79">
        <f t="shared" si="45"/>
        <v>94.057432122222295</v>
      </c>
      <c r="EW117" s="79">
        <f t="shared" ref="EW117:EW137" si="51">(CF117-EH117)/CF117*100</f>
        <v>53.69483069832588</v>
      </c>
      <c r="EX117" s="66"/>
      <c r="EY117" s="66"/>
      <c r="EZ117" s="66"/>
      <c r="FA117" s="66"/>
      <c r="FB117" s="79">
        <f t="shared" si="46"/>
        <v>94.414581834157858</v>
      </c>
    </row>
    <row r="118" spans="1:158" hidden="1" x14ac:dyDescent="0.3">
      <c r="A118" s="86">
        <v>44746</v>
      </c>
      <c r="B118" s="106">
        <f t="shared" si="29"/>
        <v>47</v>
      </c>
      <c r="C118" s="96">
        <v>244.08945686900952</v>
      </c>
      <c r="D118" s="93">
        <v>63.900841908325539</v>
      </c>
      <c r="E118" s="93">
        <v>20.811387900355875</v>
      </c>
      <c r="F118" s="96">
        <f t="shared" si="22"/>
        <v>180.18861496068399</v>
      </c>
      <c r="G118" s="96"/>
      <c r="H118" s="96"/>
      <c r="I118" s="96"/>
      <c r="J118" s="96"/>
      <c r="N118" s="70">
        <v>0.2923288</v>
      </c>
      <c r="O118" s="70">
        <f t="shared" si="41"/>
        <v>6.6037075919999993E-2</v>
      </c>
      <c r="P118" s="70">
        <v>5.9288999999999996</v>
      </c>
      <c r="Q118" s="70">
        <v>41.259</v>
      </c>
      <c r="R118" s="71">
        <v>87.606390000000005</v>
      </c>
      <c r="S118" s="71">
        <f t="shared" si="26"/>
        <v>68.024777537931143</v>
      </c>
      <c r="X118" s="72"/>
      <c r="Y118" s="73"/>
      <c r="Z118" s="73"/>
      <c r="AA118" s="72">
        <f t="shared" si="40"/>
        <v>653.67943221845962</v>
      </c>
      <c r="AB118" s="72"/>
      <c r="AC118" s="72"/>
      <c r="AD118" s="72"/>
      <c r="AE118" s="72"/>
      <c r="AF118" s="72"/>
      <c r="AH118" s="74">
        <v>7.28</v>
      </c>
      <c r="AI118" s="97"/>
      <c r="AJ118" s="97"/>
      <c r="AK118" s="97"/>
      <c r="AL118" s="96"/>
      <c r="AW118" s="72"/>
      <c r="AX118" s="75"/>
      <c r="AY118" s="75"/>
      <c r="AZ118" s="75"/>
      <c r="BA118" s="75"/>
      <c r="BB118" s="72"/>
      <c r="BC118" s="72"/>
      <c r="BD118" s="72"/>
      <c r="BE118" s="72"/>
      <c r="BF118" s="168">
        <v>433.76769999999999</v>
      </c>
      <c r="BG118" s="74">
        <v>7.03</v>
      </c>
      <c r="BH118" s="93">
        <v>117.82747603833866</v>
      </c>
      <c r="BI118" s="93">
        <v>112.73152478952292</v>
      </c>
      <c r="BJ118" s="93">
        <v>15.164887307236064</v>
      </c>
      <c r="BK118" s="88">
        <f t="shared" si="24"/>
        <v>5.0959512488157372</v>
      </c>
      <c r="BL118" s="88"/>
      <c r="BM118" s="88"/>
      <c r="BN118" s="88"/>
      <c r="BO118" s="88"/>
      <c r="BS118" s="70">
        <v>0.210204</v>
      </c>
      <c r="BT118" s="70">
        <f t="shared" si="27"/>
        <v>4.7485083599999998E-2</v>
      </c>
      <c r="BU118" s="70">
        <v>17.219629999999999</v>
      </c>
      <c r="BV118" s="70">
        <v>1.7430000000000001</v>
      </c>
      <c r="BW118" s="71">
        <v>87.660719999999998</v>
      </c>
      <c r="BX118" s="71">
        <f t="shared" si="28"/>
        <v>68.066963800413092</v>
      </c>
      <c r="CC118" s="72"/>
      <c r="CD118" s="72"/>
      <c r="CE118" s="72"/>
      <c r="CF118" s="72">
        <f t="shared" si="49"/>
        <v>166.35718265555278</v>
      </c>
      <c r="CG118" s="72"/>
      <c r="CH118" s="72"/>
      <c r="CI118" s="72"/>
      <c r="CJ118" s="72"/>
      <c r="CL118" s="74">
        <v>7.38</v>
      </c>
      <c r="CM118" s="69"/>
      <c r="CN118" s="69"/>
      <c r="CO118" s="69"/>
      <c r="CP118" s="69">
        <f t="shared" si="42"/>
        <v>0</v>
      </c>
      <c r="CQ118" s="76"/>
      <c r="CR118" s="76"/>
      <c r="CS118" s="177"/>
      <c r="CT118" s="70"/>
      <c r="CU118" s="76"/>
      <c r="CV118" s="77"/>
      <c r="CW118" s="77"/>
      <c r="CX118" s="77"/>
      <c r="CY118" s="77"/>
      <c r="CZ118" s="77"/>
      <c r="DA118" s="66"/>
      <c r="DB118" s="66"/>
      <c r="DC118" s="66"/>
      <c r="DD118" s="66"/>
      <c r="DE118" s="66"/>
      <c r="DF118" s="66"/>
      <c r="DG118" s="66"/>
      <c r="DH118" s="66"/>
      <c r="DI118" s="168">
        <v>93.16968</v>
      </c>
      <c r="DJ118" s="67">
        <v>7.18</v>
      </c>
      <c r="DK118" s="69">
        <v>30.645367412140576</v>
      </c>
      <c r="DL118" s="69">
        <v>7.7736202057998138</v>
      </c>
      <c r="DM118" s="69">
        <v>96.536180308422303</v>
      </c>
      <c r="DN118" s="69">
        <f t="shared" si="47"/>
        <v>22.871747206340764</v>
      </c>
      <c r="DO118" s="69"/>
      <c r="DP118" s="69"/>
      <c r="DQ118" s="69"/>
      <c r="DR118" s="69"/>
      <c r="DS118" s="70"/>
      <c r="DT118" s="70"/>
      <c r="DU118" s="70"/>
      <c r="DV118" s="177">
        <v>409.2149</v>
      </c>
      <c r="DW118" s="177">
        <f t="shared" si="43"/>
        <v>92.441645909999991</v>
      </c>
      <c r="DX118" s="70">
        <v>6.34436</v>
      </c>
      <c r="DY118" s="70">
        <v>95.145799999999994</v>
      </c>
      <c r="DZ118" s="71">
        <v>5.6220800000000004</v>
      </c>
      <c r="EA118" s="71">
        <f t="shared" si="44"/>
        <v>4.3654434488220772</v>
      </c>
      <c r="EB118" s="180"/>
      <c r="EC118" s="180"/>
      <c r="ED118" s="71"/>
      <c r="EE118" s="180"/>
      <c r="EF118" s="66"/>
      <c r="EG118" s="66"/>
      <c r="EH118" s="79">
        <f t="shared" si="48"/>
        <v>83.388134733425602</v>
      </c>
      <c r="EI118" s="66"/>
      <c r="EJ118" s="79"/>
      <c r="EK118" s="66"/>
      <c r="EL118" s="168"/>
      <c r="EM118" s="67">
        <v>7.45</v>
      </c>
      <c r="EN118" s="78">
        <f t="shared" si="32"/>
        <v>51.727748691099464</v>
      </c>
      <c r="EO118" s="78">
        <f t="shared" si="33"/>
        <v>-76.4163372859025</v>
      </c>
      <c r="EP118" s="78">
        <f t="shared" si="34"/>
        <v>27.131782945736433</v>
      </c>
      <c r="EQ118" s="78">
        <f t="shared" si="35"/>
        <v>97.171879449804507</v>
      </c>
      <c r="ER118" s="79">
        <f t="shared" si="50"/>
        <v>74.550647541262066</v>
      </c>
      <c r="ES118" s="66"/>
      <c r="ET118" s="140"/>
      <c r="EU118" s="140"/>
      <c r="EV118" s="141">
        <f t="shared" si="45"/>
        <v>87.306774508849401</v>
      </c>
      <c r="EW118" s="79">
        <f t="shared" si="51"/>
        <v>49.874040061087669</v>
      </c>
      <c r="EX118" s="66"/>
      <c r="EY118" s="66"/>
      <c r="EZ118" s="66"/>
      <c r="FA118" s="66"/>
      <c r="FB118" s="79">
        <f t="shared" si="46"/>
        <v>87.243267781820407</v>
      </c>
    </row>
    <row r="119" spans="1:158" hidden="1" x14ac:dyDescent="0.3">
      <c r="A119" s="86">
        <v>44747</v>
      </c>
      <c r="B119" s="106">
        <f t="shared" si="29"/>
        <v>48</v>
      </c>
      <c r="C119" s="96">
        <v>391.09691160809371</v>
      </c>
      <c r="D119" s="93">
        <v>49.672591206735262</v>
      </c>
      <c r="E119" s="93">
        <v>27.069988137603801</v>
      </c>
      <c r="F119" s="96">
        <f t="shared" si="22"/>
        <v>341.42432040135844</v>
      </c>
      <c r="G119" s="96"/>
      <c r="H119" s="96"/>
      <c r="I119" s="96"/>
      <c r="J119" s="96"/>
      <c r="N119" s="70">
        <v>0.23914830000000001</v>
      </c>
      <c r="O119" s="70">
        <f t="shared" si="41"/>
        <v>5.4023600970000002E-2</v>
      </c>
      <c r="P119" s="70">
        <v>6.8564299999999996</v>
      </c>
      <c r="Q119" s="70">
        <v>45.384399999999999</v>
      </c>
      <c r="R119" s="71">
        <v>62.647010000000002</v>
      </c>
      <c r="S119" s="71">
        <f t="shared" si="26"/>
        <v>48.64427033994378</v>
      </c>
      <c r="X119" s="72"/>
      <c r="Y119" s="73"/>
      <c r="Z119" s="73"/>
      <c r="AA119" s="72">
        <f t="shared" si="40"/>
        <v>1225.9371979685013</v>
      </c>
      <c r="AB119" s="72"/>
      <c r="AC119" s="72"/>
      <c r="AD119" s="72"/>
      <c r="AE119" s="72"/>
      <c r="AF119" s="72"/>
      <c r="AH119" s="74">
        <v>7.36</v>
      </c>
      <c r="AI119" s="97"/>
      <c r="AJ119" s="97"/>
      <c r="AK119" s="97"/>
      <c r="AL119" s="96"/>
      <c r="AW119" s="72"/>
      <c r="AX119" s="75"/>
      <c r="AY119" s="75"/>
      <c r="AZ119" s="75"/>
      <c r="BA119" s="75"/>
      <c r="BB119" s="72"/>
      <c r="BC119" s="72"/>
      <c r="BD119" s="72"/>
      <c r="BE119" s="72"/>
      <c r="BG119" s="74">
        <v>7.02</v>
      </c>
      <c r="BH119" s="93">
        <v>130.22364217252397</v>
      </c>
      <c r="BI119" s="93">
        <v>109.53227315247895</v>
      </c>
      <c r="BJ119" s="93">
        <v>19.039145907473312</v>
      </c>
      <c r="BK119" s="88">
        <f t="shared" si="24"/>
        <v>20.691369020045016</v>
      </c>
      <c r="BL119" s="88"/>
      <c r="BM119" s="88"/>
      <c r="BN119" s="88"/>
      <c r="BO119" s="88"/>
      <c r="BS119" s="70">
        <v>0.2187964</v>
      </c>
      <c r="BT119" s="70">
        <f t="shared" si="27"/>
        <v>4.9426106759999998E-2</v>
      </c>
      <c r="BU119" s="70">
        <v>15.00657</v>
      </c>
      <c r="BV119" s="70">
        <v>1.9128000000000001</v>
      </c>
      <c r="BW119" s="71">
        <v>95.48415</v>
      </c>
      <c r="BX119" s="71">
        <f t="shared" si="28"/>
        <v>74.141715714441006</v>
      </c>
      <c r="CC119" s="72"/>
      <c r="CD119" s="72"/>
      <c r="CE119" s="72"/>
      <c r="CF119" s="72">
        <f t="shared" si="49"/>
        <v>216.6913935121953</v>
      </c>
      <c r="CG119" s="72"/>
      <c r="CH119" s="72"/>
      <c r="CI119" s="72"/>
      <c r="CJ119" s="72"/>
      <c r="CL119" s="74">
        <v>7.54</v>
      </c>
      <c r="CM119" s="69"/>
      <c r="CN119" s="69"/>
      <c r="CO119" s="69"/>
      <c r="CP119" s="69">
        <f t="shared" si="42"/>
        <v>0</v>
      </c>
      <c r="CQ119" s="76"/>
      <c r="CR119" s="76"/>
      <c r="CS119" s="177"/>
      <c r="CT119" s="70"/>
      <c r="CU119" s="76"/>
      <c r="CV119" s="77"/>
      <c r="CW119" s="77"/>
      <c r="CX119" s="77"/>
      <c r="CY119" s="77"/>
      <c r="CZ119" s="77"/>
      <c r="DA119" s="66"/>
      <c r="DB119" s="66"/>
      <c r="DC119" s="66"/>
      <c r="DD119" s="66"/>
      <c r="DE119" s="66"/>
      <c r="DF119" s="66"/>
      <c r="DG119" s="66"/>
      <c r="DH119" s="66"/>
      <c r="DI119" s="168"/>
      <c r="DJ119" s="67">
        <v>7.05</v>
      </c>
      <c r="DK119" s="69">
        <v>23.176991150442475</v>
      </c>
      <c r="DL119" s="69">
        <v>5.0128190050570387</v>
      </c>
      <c r="DM119" s="69">
        <v>100.06613499319198</v>
      </c>
      <c r="DN119" s="69">
        <f t="shared" si="47"/>
        <v>18.164172145385436</v>
      </c>
      <c r="DO119" s="69"/>
      <c r="DP119" s="69"/>
      <c r="DQ119" s="69"/>
      <c r="DR119" s="69"/>
      <c r="DS119" s="70"/>
      <c r="DT119" s="70"/>
      <c r="DU119" s="70"/>
      <c r="DV119" s="177">
        <v>433.17970000000003</v>
      </c>
      <c r="DW119" s="177">
        <f t="shared" si="43"/>
        <v>97.855294229999998</v>
      </c>
      <c r="DX119" s="70">
        <v>6.4600600000000004</v>
      </c>
      <c r="DY119" s="70">
        <v>83.599100000000007</v>
      </c>
      <c r="DZ119" s="71">
        <v>0.14187</v>
      </c>
      <c r="EA119" s="71">
        <f t="shared" si="44"/>
        <v>0.11015948938549221</v>
      </c>
      <c r="EB119" s="180"/>
      <c r="EC119" s="180"/>
      <c r="ED119" s="71"/>
      <c r="EE119" s="180"/>
      <c r="EF119" s="66"/>
      <c r="EG119" s="66"/>
      <c r="EH119" s="79">
        <f t="shared" si="48"/>
        <v>62.25441801227884</v>
      </c>
      <c r="EI119" s="66"/>
      <c r="EJ119" s="79"/>
      <c r="EK119" s="66"/>
      <c r="EL119" s="168"/>
      <c r="EM119" s="67">
        <v>7.07</v>
      </c>
      <c r="EN119" s="78">
        <f t="shared" si="32"/>
        <v>66.702973532294948</v>
      </c>
      <c r="EO119" s="78">
        <f t="shared" si="33"/>
        <v>-120.50847457627121</v>
      </c>
      <c r="EP119" s="78">
        <f t="shared" si="34"/>
        <v>29.666958808063104</v>
      </c>
      <c r="EQ119" s="78">
        <f t="shared" si="35"/>
        <v>93.939690940668356</v>
      </c>
      <c r="ER119" s="79">
        <f t="shared" si="50"/>
        <v>82.324429516350889</v>
      </c>
      <c r="ES119" s="66"/>
      <c r="ET119" s="140"/>
      <c r="EU119" s="140"/>
      <c r="EV119" s="141">
        <f t="shared" si="45"/>
        <v>94.679883341634053</v>
      </c>
      <c r="EW119" s="79">
        <f t="shared" si="51"/>
        <v>71.27047041267231</v>
      </c>
      <c r="EX119" s="66"/>
      <c r="EY119" s="66"/>
      <c r="EZ119" s="66"/>
      <c r="FA119" s="66"/>
      <c r="FB119" s="79">
        <f t="shared" si="46"/>
        <v>94.921891748171078</v>
      </c>
    </row>
    <row r="120" spans="1:158" hidden="1" x14ac:dyDescent="0.3">
      <c r="A120" s="86">
        <v>44748</v>
      </c>
      <c r="B120" s="106">
        <f t="shared" si="29"/>
        <v>49</v>
      </c>
      <c r="C120" s="96">
        <v>144.34892541087231</v>
      </c>
      <c r="D120" s="93">
        <v>42.761378337057508</v>
      </c>
      <c r="E120" s="93">
        <v>20.701808986578488</v>
      </c>
      <c r="F120" s="96">
        <f t="shared" si="22"/>
        <v>101.5875470738148</v>
      </c>
      <c r="G120" s="96"/>
      <c r="H120" s="96"/>
      <c r="I120" s="96"/>
      <c r="J120" s="96"/>
      <c r="N120" s="70">
        <v>0.2162512</v>
      </c>
      <c r="O120" s="70">
        <f t="shared" si="41"/>
        <v>4.8851146079999998E-2</v>
      </c>
      <c r="P120" s="70">
        <v>7.1978200000000001</v>
      </c>
      <c r="Q120" s="70">
        <v>48.563600000000001</v>
      </c>
      <c r="R120" s="71">
        <v>61.543990000000001</v>
      </c>
      <c r="S120" s="71">
        <f t="shared" si="26"/>
        <v>47.787795257248462</v>
      </c>
      <c r="X120" s="72"/>
      <c r="Y120" s="73"/>
      <c r="Z120" s="73"/>
      <c r="AA120" s="72">
        <f t="shared" si="40"/>
        <v>374.7085220743835</v>
      </c>
      <c r="AB120" s="72"/>
      <c r="AC120" s="72"/>
      <c r="AD120" s="72"/>
      <c r="AE120" s="72"/>
      <c r="AF120" s="72"/>
      <c r="AH120" s="74">
        <v>7.3</v>
      </c>
      <c r="AI120" s="97"/>
      <c r="AJ120" s="97"/>
      <c r="AK120" s="97"/>
      <c r="AL120" s="96"/>
      <c r="AW120" s="72"/>
      <c r="AX120" s="75"/>
      <c r="AY120" s="75"/>
      <c r="AZ120" s="75"/>
      <c r="BA120" s="75"/>
      <c r="BB120" s="72"/>
      <c r="BC120" s="72"/>
      <c r="BD120" s="72"/>
      <c r="BE120" s="72"/>
      <c r="BG120" s="74">
        <v>7.05</v>
      </c>
      <c r="BH120" s="93">
        <v>107.18078381795196</v>
      </c>
      <c r="BI120" s="93">
        <v>103.248265318123</v>
      </c>
      <c r="BJ120" s="93">
        <v>15.344874538027625</v>
      </c>
      <c r="BK120" s="88">
        <f t="shared" si="24"/>
        <v>3.9325184998289586</v>
      </c>
      <c r="BL120" s="88"/>
      <c r="BM120" s="88"/>
      <c r="BN120" s="88"/>
      <c r="BO120" s="88"/>
      <c r="BS120" s="70">
        <v>0.33858290000000002</v>
      </c>
      <c r="BT120" s="70">
        <f t="shared" si="27"/>
        <v>7.6485877110000003E-2</v>
      </c>
      <c r="BU120" s="70">
        <v>19.321249999999999</v>
      </c>
      <c r="BV120" s="70">
        <v>3.9571999999999998</v>
      </c>
      <c r="BW120" s="71">
        <v>96.900450000000006</v>
      </c>
      <c r="BX120" s="71">
        <f t="shared" si="28"/>
        <v>75.241447051698174</v>
      </c>
      <c r="CC120" s="72"/>
      <c r="CD120" s="72"/>
      <c r="CE120" s="72"/>
      <c r="CF120" s="72">
        <f t="shared" si="49"/>
        <v>162.60220345819795</v>
      </c>
      <c r="CG120" s="72"/>
      <c r="CH120" s="72"/>
      <c r="CI120" s="72"/>
      <c r="CJ120" s="72"/>
      <c r="CL120" s="74">
        <v>7.26</v>
      </c>
      <c r="CM120" s="69"/>
      <c r="CN120" s="69"/>
      <c r="CO120" s="69"/>
      <c r="CP120" s="69">
        <f t="shared" si="42"/>
        <v>0</v>
      </c>
      <c r="CQ120" s="76"/>
      <c r="CR120" s="76"/>
      <c r="CS120" s="177"/>
      <c r="CT120" s="70"/>
      <c r="CU120" s="76"/>
      <c r="CV120" s="77"/>
      <c r="CW120" s="77"/>
      <c r="CX120" s="77"/>
      <c r="CY120" s="77"/>
      <c r="CZ120" s="77"/>
      <c r="DA120" s="66"/>
      <c r="DB120" s="66"/>
      <c r="DC120" s="66"/>
      <c r="DD120" s="66"/>
      <c r="DE120" s="66"/>
      <c r="DF120" s="66"/>
      <c r="DG120" s="66"/>
      <c r="DH120" s="66"/>
      <c r="DI120" s="168"/>
      <c r="DJ120" s="67">
        <v>7.01</v>
      </c>
      <c r="DK120" s="69">
        <v>25.691529709228824</v>
      </c>
      <c r="DL120" s="69">
        <v>6.1898153592849594</v>
      </c>
      <c r="DM120" s="69">
        <v>123.26784672242755</v>
      </c>
      <c r="DN120" s="69">
        <f t="shared" si="47"/>
        <v>19.501714349943864</v>
      </c>
      <c r="DO120" s="69"/>
      <c r="DP120" s="69"/>
      <c r="DQ120" s="69"/>
      <c r="DR120" s="69"/>
      <c r="DS120" s="70"/>
      <c r="DT120" s="70"/>
      <c r="DU120" s="70"/>
      <c r="DV120" s="177">
        <v>525.12750000000005</v>
      </c>
      <c r="DW120" s="177">
        <f t="shared" si="43"/>
        <v>118.62630225000001</v>
      </c>
      <c r="DX120" s="70">
        <v>4.0334399999999997</v>
      </c>
      <c r="DY120" s="70">
        <v>120.47799999999999</v>
      </c>
      <c r="DZ120" s="71">
        <v>0.11781</v>
      </c>
      <c r="EA120" s="71">
        <f t="shared" si="44"/>
        <v>9.1477334492879661E-2</v>
      </c>
      <c r="EB120" s="180"/>
      <c r="EC120" s="180"/>
      <c r="ED120" s="71"/>
      <c r="EE120" s="180"/>
      <c r="EF120" s="66"/>
      <c r="EG120" s="66"/>
      <c r="EH120" s="79">
        <f t="shared" si="48"/>
        <v>68.259046231203001</v>
      </c>
      <c r="EI120" s="66"/>
      <c r="EJ120" s="79"/>
      <c r="EK120" s="66"/>
      <c r="EL120" s="168"/>
      <c r="EM120" s="67">
        <v>7.23</v>
      </c>
      <c r="EN120" s="78">
        <f t="shared" si="32"/>
        <v>25.748817656332108</v>
      </c>
      <c r="EO120" s="78">
        <f t="shared" si="33"/>
        <v>-141.45214521452144</v>
      </c>
      <c r="EP120" s="78">
        <f t="shared" si="34"/>
        <v>25.876649002142276</v>
      </c>
      <c r="EQ120" s="78">
        <f t="shared" si="35"/>
        <v>96.128936456186366</v>
      </c>
      <c r="ER120" s="79">
        <f t="shared" si="50"/>
        <v>56.605683116563931</v>
      </c>
      <c r="ES120" s="66"/>
      <c r="ET120" s="140"/>
      <c r="EU120" s="140"/>
      <c r="EV120" s="141">
        <f t="shared" si="45"/>
        <v>80.803046326363543</v>
      </c>
      <c r="EW120" s="79">
        <f t="shared" si="51"/>
        <v>58.020835647069724</v>
      </c>
      <c r="EX120" s="66"/>
      <c r="EY120" s="66"/>
      <c r="EZ120" s="66"/>
      <c r="FA120" s="66"/>
      <c r="FB120" s="79">
        <f t="shared" si="46"/>
        <v>81.783428395670995</v>
      </c>
    </row>
    <row r="121" spans="1:158" hidden="1" x14ac:dyDescent="0.3">
      <c r="A121" s="86">
        <v>44750</v>
      </c>
      <c r="B121" s="106">
        <f t="shared" si="29"/>
        <v>51</v>
      </c>
      <c r="C121" s="96">
        <v>215.34766118836916</v>
      </c>
      <c r="D121" s="93">
        <v>33.503469363753965</v>
      </c>
      <c r="E121" s="93">
        <v>20.732153277572461</v>
      </c>
      <c r="F121" s="96">
        <f t="shared" si="22"/>
        <v>181.84419182461519</v>
      </c>
      <c r="G121" s="96"/>
      <c r="H121" s="96"/>
      <c r="I121" s="96"/>
      <c r="J121" s="96"/>
      <c r="N121" s="70">
        <v>0.29973070000000002</v>
      </c>
      <c r="O121" s="70">
        <f t="shared" si="41"/>
        <v>6.7709165129999999E-2</v>
      </c>
      <c r="P121" s="70">
        <v>4.58948</v>
      </c>
      <c r="Q121" s="70">
        <v>43.698700000000002</v>
      </c>
      <c r="R121" s="71">
        <v>53.238019999999999</v>
      </c>
      <c r="S121" s="71">
        <f t="shared" si="26"/>
        <v>41.338359759601197</v>
      </c>
      <c r="X121" s="72"/>
      <c r="Y121" s="73"/>
      <c r="Z121" s="73"/>
      <c r="AA121" s="72">
        <f t="shared" si="40"/>
        <v>659.55540562392423</v>
      </c>
      <c r="AB121" s="72"/>
      <c r="AC121" s="72"/>
      <c r="AD121" s="72"/>
      <c r="AE121" s="72"/>
      <c r="AF121" s="72"/>
      <c r="AH121" s="74">
        <v>6.96</v>
      </c>
      <c r="AI121" s="97"/>
      <c r="AJ121" s="97"/>
      <c r="AK121" s="97"/>
      <c r="AL121" s="96"/>
      <c r="AW121" s="72"/>
      <c r="AX121" s="75"/>
      <c r="AY121" s="75"/>
      <c r="AZ121" s="75"/>
      <c r="BA121" s="75"/>
      <c r="BB121" s="72"/>
      <c r="BC121" s="72"/>
      <c r="BD121" s="72"/>
      <c r="BE121" s="72"/>
      <c r="BF121" s="168">
        <v>473.9246</v>
      </c>
      <c r="BG121" s="74">
        <v>6.99</v>
      </c>
      <c r="BH121" s="93">
        <v>101.15044247787611</v>
      </c>
      <c r="BI121" s="93">
        <v>87.018699282606136</v>
      </c>
      <c r="BJ121" s="93">
        <v>13.787978992413928</v>
      </c>
      <c r="BK121" s="88">
        <f t="shared" si="24"/>
        <v>14.131743195269976</v>
      </c>
      <c r="BL121" s="88"/>
      <c r="BM121" s="88"/>
      <c r="BN121" s="88"/>
      <c r="BO121" s="88"/>
      <c r="BS121" s="70">
        <v>0.24338129999999999</v>
      </c>
      <c r="BT121" s="70">
        <f t="shared" si="27"/>
        <v>5.4979835669999998E-2</v>
      </c>
      <c r="BU121" s="70">
        <v>15.958830000000001</v>
      </c>
      <c r="BV121" s="70">
        <v>3.2646000000000002</v>
      </c>
      <c r="BW121" s="71">
        <v>77.094660000000005</v>
      </c>
      <c r="BX121" s="71">
        <f t="shared" si="28"/>
        <v>59.862609289829642</v>
      </c>
      <c r="CC121" s="72"/>
      <c r="CD121" s="72"/>
      <c r="CE121" s="72"/>
      <c r="CF121" s="72">
        <f t="shared" si="49"/>
        <v>195.52020116273385</v>
      </c>
      <c r="CG121" s="72"/>
      <c r="CH121" s="72"/>
      <c r="CI121" s="72"/>
      <c r="CJ121" s="72"/>
      <c r="CL121" s="74">
        <v>7.33</v>
      </c>
      <c r="CM121" s="69"/>
      <c r="CN121" s="69"/>
      <c r="CO121" s="69"/>
      <c r="CP121" s="69">
        <f t="shared" si="42"/>
        <v>0</v>
      </c>
      <c r="CQ121" s="76"/>
      <c r="CR121" s="76"/>
      <c r="CS121" s="177"/>
      <c r="CT121" s="70"/>
      <c r="CU121" s="76"/>
      <c r="CV121" s="77"/>
      <c r="CW121" s="77"/>
      <c r="CX121" s="77"/>
      <c r="CY121" s="77"/>
      <c r="CZ121" s="77"/>
      <c r="DA121" s="66"/>
      <c r="DB121" s="66"/>
      <c r="DC121" s="66"/>
      <c r="DD121" s="66"/>
      <c r="DE121" s="66"/>
      <c r="DF121" s="66"/>
      <c r="DG121" s="66"/>
      <c r="DH121" s="66"/>
      <c r="DI121" s="168">
        <v>90.569950000000006</v>
      </c>
      <c r="DJ121" s="67">
        <v>6.98</v>
      </c>
      <c r="DK121" s="69">
        <v>22.774968394437423</v>
      </c>
      <c r="DL121" s="69">
        <v>5.190638598141831</v>
      </c>
      <c r="DM121" s="69">
        <v>120.84030344290994</v>
      </c>
      <c r="DN121" s="69">
        <f t="shared" si="47"/>
        <v>17.584329796295592</v>
      </c>
      <c r="DO121" s="69"/>
      <c r="DP121" s="69"/>
      <c r="DQ121" s="69"/>
      <c r="DR121" s="69"/>
      <c r="DS121" s="70"/>
      <c r="DT121" s="70"/>
      <c r="DU121" s="70"/>
      <c r="DV121" s="177">
        <v>526.33950000000004</v>
      </c>
      <c r="DW121" s="177">
        <f t="shared" si="43"/>
        <v>118.90009305000001</v>
      </c>
      <c r="DX121" s="70">
        <v>8.7933900000000005</v>
      </c>
      <c r="DY121" s="70">
        <v>90.288600000000002</v>
      </c>
      <c r="DZ121" s="71">
        <v>0.20093</v>
      </c>
      <c r="EA121" s="71">
        <f t="shared" si="44"/>
        <v>0.15601851132887115</v>
      </c>
      <c r="EB121" s="180"/>
      <c r="EC121" s="180"/>
      <c r="ED121" s="71"/>
      <c r="EE121" s="180"/>
      <c r="EF121" s="66"/>
      <c r="EG121" s="66"/>
      <c r="EH121" s="79">
        <f t="shared" si="48"/>
        <v>59.651331754509805</v>
      </c>
      <c r="EI121" s="66"/>
      <c r="EJ121" s="79"/>
      <c r="EK121" s="66"/>
      <c r="EL121" s="168"/>
      <c r="EM121" s="67">
        <v>6.9</v>
      </c>
      <c r="EN121" s="78">
        <f t="shared" si="32"/>
        <v>53.029235646354344</v>
      </c>
      <c r="EO121" s="78">
        <f t="shared" si="33"/>
        <v>-159.73041280539178</v>
      </c>
      <c r="EP121" s="78">
        <f t="shared" si="34"/>
        <v>33.494708399009241</v>
      </c>
      <c r="EQ121" s="78">
        <f t="shared" si="35"/>
        <v>92.228652972925445</v>
      </c>
      <c r="ER121" s="79">
        <f t="shared" si="50"/>
        <v>70.355757909712494</v>
      </c>
      <c r="ES121" s="66"/>
      <c r="ET121" s="140"/>
      <c r="EU121" s="140"/>
      <c r="EV121" s="141">
        <f t="shared" si="45"/>
        <v>90.330001953950074</v>
      </c>
      <c r="EW121" s="79">
        <f t="shared" si="51"/>
        <v>69.490962366154037</v>
      </c>
      <c r="EX121" s="66"/>
      <c r="EY121" s="66"/>
      <c r="EZ121" s="66"/>
      <c r="FA121" s="66"/>
      <c r="FB121" s="79">
        <f t="shared" si="46"/>
        <v>90.955827024405778</v>
      </c>
    </row>
    <row r="122" spans="1:158" hidden="1" x14ac:dyDescent="0.3">
      <c r="A122" s="86">
        <v>44753</v>
      </c>
      <c r="B122" s="106">
        <f t="shared" si="29"/>
        <v>54</v>
      </c>
      <c r="C122" s="96">
        <v>103.6080467229072</v>
      </c>
      <c r="D122" s="93">
        <v>53.65796558585977</v>
      </c>
      <c r="E122" s="93">
        <v>12.972235383303325</v>
      </c>
      <c r="F122" s="96">
        <f t="shared" si="22"/>
        <v>49.950081137047434</v>
      </c>
      <c r="G122" s="96"/>
      <c r="H122" s="96"/>
      <c r="I122" s="96"/>
      <c r="J122" s="96"/>
      <c r="N122" s="70">
        <v>0.33460499999999999</v>
      </c>
      <c r="O122" s="70">
        <f t="shared" si="41"/>
        <v>7.5587269499999998E-2</v>
      </c>
      <c r="P122" s="70">
        <v>8.00563</v>
      </c>
      <c r="Q122" s="70">
        <v>38.743299999999998</v>
      </c>
      <c r="R122" s="71">
        <v>57.19388</v>
      </c>
      <c r="S122" s="71">
        <f t="shared" si="26"/>
        <v>44.410013510785333</v>
      </c>
      <c r="X122" s="72"/>
      <c r="Y122" s="73"/>
      <c r="Z122" s="73"/>
      <c r="AA122" s="72">
        <f t="shared" si="40"/>
        <v>191.43682797160875</v>
      </c>
      <c r="AB122" s="72"/>
      <c r="AC122" s="72"/>
      <c r="AD122" s="72"/>
      <c r="AE122" s="72"/>
      <c r="AF122" s="72"/>
      <c r="AH122" s="74">
        <v>7.43</v>
      </c>
      <c r="AI122" s="97"/>
      <c r="AJ122" s="97"/>
      <c r="AK122" s="97"/>
      <c r="AL122" s="96"/>
      <c r="AW122" s="72"/>
      <c r="AX122" s="75"/>
      <c r="AY122" s="75"/>
      <c r="AZ122" s="75"/>
      <c r="BA122" s="75"/>
      <c r="BB122" s="72"/>
      <c r="BC122" s="72"/>
      <c r="BD122" s="72"/>
      <c r="BE122" s="72"/>
      <c r="BF122" s="168">
        <v>362.64530000000002</v>
      </c>
      <c r="BG122" s="74">
        <v>7.01</v>
      </c>
      <c r="BH122" s="93">
        <v>98.50746268656718</v>
      </c>
      <c r="BI122" s="93">
        <v>103.91665691209177</v>
      </c>
      <c r="BJ122" s="93">
        <v>13.829621908462052</v>
      </c>
      <c r="BK122" s="88">
        <f t="shared" si="24"/>
        <v>-5.4091942255245868</v>
      </c>
      <c r="BL122" s="88"/>
      <c r="BM122" s="88"/>
      <c r="BN122" s="88"/>
      <c r="BO122" s="88"/>
      <c r="BS122" s="70">
        <v>0.17778430000000001</v>
      </c>
      <c r="BT122" s="70">
        <f t="shared" si="27"/>
        <v>4.0161473369999999E-2</v>
      </c>
      <c r="BU122" s="70">
        <v>19.39096</v>
      </c>
      <c r="BV122" s="70">
        <v>3.6040999999999999</v>
      </c>
      <c r="BW122" s="71">
        <v>70.579170000000005</v>
      </c>
      <c r="BX122" s="71">
        <f t="shared" si="28"/>
        <v>54.803449132669705</v>
      </c>
      <c r="CC122" s="72"/>
      <c r="CD122" s="72"/>
      <c r="CE122" s="72"/>
      <c r="CF122" s="72">
        <f t="shared" si="49"/>
        <v>132.45182563711938</v>
      </c>
      <c r="CG122" s="72"/>
      <c r="CH122" s="72"/>
      <c r="CI122" s="72"/>
      <c r="CJ122" s="72"/>
      <c r="CL122" s="74">
        <v>7.14</v>
      </c>
      <c r="CM122" s="69">
        <v>36.891628812459437</v>
      </c>
      <c r="CN122" s="69">
        <v>14.836006086854734</v>
      </c>
      <c r="CO122" s="69">
        <v>83.942007012224011</v>
      </c>
      <c r="CP122" s="69">
        <f t="shared" si="42"/>
        <v>22.055622725604703</v>
      </c>
      <c r="CQ122" s="76"/>
      <c r="CR122" s="76"/>
      <c r="CS122" s="177"/>
      <c r="CT122" s="70"/>
      <c r="CU122" s="76"/>
      <c r="CV122" s="77"/>
      <c r="CW122" s="77"/>
      <c r="CX122" s="77"/>
      <c r="CY122" s="77"/>
      <c r="CZ122" s="77"/>
      <c r="DA122" s="66"/>
      <c r="DB122" s="66"/>
      <c r="DC122" s="66"/>
      <c r="DD122" s="66"/>
      <c r="DE122" s="66"/>
      <c r="DF122" s="66"/>
      <c r="DG122" s="66"/>
      <c r="DH122" s="66"/>
      <c r="DI122" s="168">
        <v>55.332590000000003</v>
      </c>
      <c r="DJ122" s="67">
        <v>6.85</v>
      </c>
      <c r="DK122" s="69">
        <v>18.443867618429593</v>
      </c>
      <c r="DL122" s="69">
        <v>3.5903078543837057</v>
      </c>
      <c r="DM122" s="69">
        <v>94.972045863735431</v>
      </c>
      <c r="DN122" s="69">
        <f t="shared" si="47"/>
        <v>14.853559764045887</v>
      </c>
      <c r="DO122" s="69"/>
      <c r="DP122" s="69"/>
      <c r="DQ122" s="69"/>
      <c r="DR122" s="69"/>
      <c r="DS122" s="70"/>
      <c r="DT122" s="70"/>
      <c r="DU122" s="70"/>
      <c r="DV122" s="177">
        <v>388.2654</v>
      </c>
      <c r="DW122" s="177">
        <f t="shared" si="43"/>
        <v>87.709153860000001</v>
      </c>
      <c r="DX122" s="70">
        <v>18.326799999999999</v>
      </c>
      <c r="DY122" s="70">
        <v>39.600900000000003</v>
      </c>
      <c r="DZ122" s="71">
        <v>0.24485000000000001</v>
      </c>
      <c r="EA122" s="71">
        <f t="shared" si="44"/>
        <v>0.1901215970680043</v>
      </c>
      <c r="EB122" s="180"/>
      <c r="EC122" s="180"/>
      <c r="ED122" s="71"/>
      <c r="EE122" s="180"/>
      <c r="EF122" s="66"/>
      <c r="EG122" s="66"/>
      <c r="EH122" s="79">
        <f t="shared" si="48"/>
        <v>47.392085848731206</v>
      </c>
      <c r="EI122" s="66"/>
      <c r="EJ122" s="79"/>
      <c r="EK122" s="66"/>
      <c r="EL122" s="168"/>
      <c r="EM122" s="67">
        <v>6.75</v>
      </c>
      <c r="EN122" s="78">
        <f t="shared" si="32"/>
        <v>4.9229612927470727</v>
      </c>
      <c r="EO122" s="78">
        <f t="shared" si="33"/>
        <v>-93.664921465968575</v>
      </c>
      <c r="EP122" s="78">
        <f t="shared" si="34"/>
        <v>-6.6093969144460392</v>
      </c>
      <c r="EQ122" s="78">
        <f t="shared" si="35"/>
        <v>110.8292000781409</v>
      </c>
      <c r="ER122" s="79">
        <f t="shared" si="50"/>
        <v>30.811731974182731</v>
      </c>
      <c r="ES122" s="66"/>
      <c r="ET122" s="140"/>
      <c r="EU122" s="140"/>
      <c r="EV122" s="141">
        <f t="shared" si="45"/>
        <v>70.263191918963358</v>
      </c>
      <c r="EW122" s="79">
        <f t="shared" si="51"/>
        <v>64.219378917001762</v>
      </c>
      <c r="EX122" s="66"/>
      <c r="EY122" s="66"/>
      <c r="EZ122" s="66"/>
      <c r="FA122" s="66"/>
      <c r="FB122" s="79">
        <f t="shared" si="46"/>
        <v>75.244007983793111</v>
      </c>
    </row>
    <row r="123" spans="1:158" hidden="1" x14ac:dyDescent="0.3">
      <c r="A123" s="86">
        <v>44755</v>
      </c>
      <c r="B123" s="106">
        <f t="shared" si="29"/>
        <v>56</v>
      </c>
      <c r="C123" s="96">
        <v>160.96985583224114</v>
      </c>
      <c r="D123" s="93">
        <v>63.542966874699957</v>
      </c>
      <c r="E123" s="93">
        <v>22.826963702707893</v>
      </c>
      <c r="F123" s="96">
        <f t="shared" si="22"/>
        <v>97.426888957541181</v>
      </c>
      <c r="G123" s="96"/>
      <c r="H123" s="96"/>
      <c r="I123" s="96"/>
      <c r="J123" s="96"/>
      <c r="N123" s="70">
        <v>0.26015700000000003</v>
      </c>
      <c r="O123" s="70">
        <f t="shared" si="41"/>
        <v>5.8769466300000003E-2</v>
      </c>
      <c r="P123" s="70">
        <v>7.2535800000000004</v>
      </c>
      <c r="R123" s="71">
        <v>174.41200000000001</v>
      </c>
      <c r="S123" s="71">
        <f t="shared" si="26"/>
        <v>135.42776388737906</v>
      </c>
      <c r="X123" s="72"/>
      <c r="Y123" s="73"/>
      <c r="Z123" s="73"/>
      <c r="AA123" s="72">
        <f t="shared" si="40"/>
        <v>359.94151428810517</v>
      </c>
      <c r="AB123" s="72"/>
      <c r="AC123" s="72"/>
      <c r="AD123" s="72"/>
      <c r="AE123" s="72"/>
      <c r="AF123" s="72"/>
      <c r="AH123" s="74">
        <v>7.46</v>
      </c>
      <c r="AI123" s="97"/>
      <c r="AJ123" s="97"/>
      <c r="AK123" s="97"/>
      <c r="AL123" s="96"/>
      <c r="AW123" s="72"/>
      <c r="AX123" s="75"/>
      <c r="AY123" s="75"/>
      <c r="AZ123" s="75"/>
      <c r="BA123" s="75"/>
      <c r="BB123" s="72"/>
      <c r="BC123" s="72"/>
      <c r="BD123" s="72"/>
      <c r="BE123" s="72"/>
      <c r="BF123" s="168">
        <v>390.07139999999998</v>
      </c>
      <c r="BG123" s="74">
        <v>6.84</v>
      </c>
      <c r="BH123" s="93">
        <v>90.747051114023577</v>
      </c>
      <c r="BI123" s="93">
        <v>102.74603936629862</v>
      </c>
      <c r="BJ123" s="93">
        <v>12.585365853658539</v>
      </c>
      <c r="BK123" s="88">
        <f t="shared" si="24"/>
        <v>-11.998988252275041</v>
      </c>
      <c r="BL123" s="88"/>
      <c r="BM123" s="88"/>
      <c r="BN123" s="88"/>
      <c r="BO123" s="88"/>
      <c r="BS123" s="70">
        <v>0.27872150000000001</v>
      </c>
      <c r="BT123" s="70">
        <f t="shared" si="27"/>
        <v>6.2963186850000005E-2</v>
      </c>
      <c r="BU123" s="70">
        <v>19.398579999999999</v>
      </c>
      <c r="BV123" s="70">
        <v>4.0190999999999999</v>
      </c>
      <c r="BW123" s="71">
        <v>74.457239999999999</v>
      </c>
      <c r="BX123" s="71">
        <f t="shared" si="28"/>
        <v>57.814700355628716</v>
      </c>
      <c r="CC123" s="72"/>
      <c r="CD123" s="72"/>
      <c r="CE123" s="72"/>
      <c r="CF123" s="72">
        <f t="shared" si="49"/>
        <v>111.1832654157823</v>
      </c>
      <c r="CG123" s="72"/>
      <c r="CH123" s="72"/>
      <c r="CI123" s="72"/>
      <c r="CJ123" s="72"/>
      <c r="CL123" s="74">
        <v>6.82</v>
      </c>
      <c r="CM123" s="69"/>
      <c r="CN123" s="69"/>
      <c r="CO123" s="69"/>
      <c r="CP123" s="69">
        <f t="shared" si="42"/>
        <v>0</v>
      </c>
      <c r="CQ123" s="76"/>
      <c r="CR123" s="76"/>
      <c r="CS123" s="177"/>
      <c r="CT123" s="70"/>
      <c r="CU123" s="76"/>
      <c r="CV123" s="77"/>
      <c r="CW123" s="77"/>
      <c r="CX123" s="77"/>
      <c r="CY123" s="77"/>
      <c r="CZ123" s="77"/>
      <c r="DA123" s="66"/>
      <c r="DB123" s="66"/>
      <c r="DC123" s="66"/>
      <c r="DD123" s="66"/>
      <c r="DE123" s="66"/>
      <c r="DF123" s="66"/>
      <c r="DG123" s="66"/>
      <c r="DH123" s="66"/>
      <c r="DI123" s="168">
        <v>31.16086</v>
      </c>
      <c r="DJ123" s="67">
        <v>6.61</v>
      </c>
      <c r="DK123" s="69">
        <v>15.216251638269984</v>
      </c>
      <c r="DL123" s="69">
        <v>2.7518002880460877</v>
      </c>
      <c r="DM123" s="69">
        <v>82.896101401958902</v>
      </c>
      <c r="DN123" s="69">
        <f t="shared" si="47"/>
        <v>12.464451350223896</v>
      </c>
      <c r="DO123" s="69"/>
      <c r="DP123" s="69"/>
      <c r="DQ123" s="69"/>
      <c r="DR123" s="69"/>
      <c r="DS123" s="70"/>
      <c r="DT123" s="70"/>
      <c r="DU123" s="70"/>
      <c r="DV123" s="177">
        <v>353.06979999999999</v>
      </c>
      <c r="DW123" s="177">
        <f t="shared" si="43"/>
        <v>79.758467819999993</v>
      </c>
      <c r="DX123" s="70">
        <v>19.983170000000001</v>
      </c>
      <c r="DY123" s="70">
        <v>33.985300000000002</v>
      </c>
      <c r="DZ123" s="71">
        <v>0.61812</v>
      </c>
      <c r="EA123" s="71">
        <f t="shared" si="44"/>
        <v>0.47995900175484912</v>
      </c>
      <c r="EB123" s="180"/>
      <c r="EC123" s="180"/>
      <c r="ED123" s="71"/>
      <c r="EE123" s="180"/>
      <c r="EF123" s="66"/>
      <c r="EG123" s="66"/>
      <c r="EH123" s="79">
        <f t="shared" si="48"/>
        <v>36.666661446560141</v>
      </c>
      <c r="EI123" s="66"/>
      <c r="EJ123" s="79"/>
      <c r="EK123" s="66"/>
      <c r="EL123" s="168"/>
      <c r="EM123" s="67">
        <v>6.63</v>
      </c>
      <c r="EN123" s="78">
        <f t="shared" si="32"/>
        <v>43.624816805080606</v>
      </c>
      <c r="EO123" s="78">
        <f t="shared" si="33"/>
        <v>-61.695376246600183</v>
      </c>
      <c r="EP123" s="78">
        <f t="shared" si="34"/>
        <v>44.866229177183229</v>
      </c>
      <c r="EQ123" s="78">
        <f t="shared" si="35"/>
        <v>112.31588977197478</v>
      </c>
      <c r="ER123" s="79">
        <f t="shared" si="50"/>
        <v>69.110741328162334</v>
      </c>
      <c r="ES123" s="66"/>
      <c r="ET123" s="140"/>
      <c r="EU123" s="140"/>
      <c r="EV123" s="141">
        <f t="shared" si="45"/>
        <v>87.206353930016263</v>
      </c>
      <c r="EW123" s="79">
        <f t="shared" si="51"/>
        <v>67.02142061627616</v>
      </c>
      <c r="EX123" s="66"/>
      <c r="EY123" s="66"/>
      <c r="EZ123" s="66"/>
      <c r="FA123" s="66"/>
      <c r="FB123" s="79">
        <f t="shared" si="46"/>
        <v>89.813161307864206</v>
      </c>
    </row>
    <row r="124" spans="1:158" hidden="1" x14ac:dyDescent="0.3">
      <c r="A124" s="86">
        <v>44757</v>
      </c>
      <c r="B124" s="106">
        <f t="shared" si="29"/>
        <v>58</v>
      </c>
      <c r="C124" s="96">
        <v>151.17955439056357</v>
      </c>
      <c r="D124" s="93">
        <v>51.128180508881428</v>
      </c>
      <c r="E124" s="93">
        <v>16.811983867870172</v>
      </c>
      <c r="F124" s="96">
        <f t="shared" si="22"/>
        <v>100.05137388168214</v>
      </c>
      <c r="G124" s="96"/>
      <c r="H124" s="96"/>
      <c r="I124" s="96"/>
      <c r="J124" s="96"/>
      <c r="N124" s="70">
        <v>0.19958799999999999</v>
      </c>
      <c r="O124" s="70">
        <f t="shared" si="41"/>
        <v>4.5086929199999994E-2</v>
      </c>
      <c r="P124" s="70">
        <v>9.2307199999999998</v>
      </c>
      <c r="Q124" s="70">
        <v>64.465699999999998</v>
      </c>
      <c r="R124" s="71">
        <v>64.200140000000005</v>
      </c>
      <c r="S124" s="71">
        <f t="shared" si="26"/>
        <v>49.85024769773112</v>
      </c>
      <c r="X124" s="72"/>
      <c r="Y124" s="73"/>
      <c r="Z124" s="73"/>
      <c r="AA124" s="72">
        <f t="shared" si="40"/>
        <v>369.25633618086624</v>
      </c>
      <c r="AB124" s="72"/>
      <c r="AC124" s="72"/>
      <c r="AD124" s="72"/>
      <c r="AE124" s="72"/>
      <c r="AF124" s="72"/>
      <c r="AG124" s="168">
        <v>245.2175</v>
      </c>
      <c r="AH124" s="74">
        <v>7.18</v>
      </c>
      <c r="AI124" s="97"/>
      <c r="AJ124" s="97"/>
      <c r="AK124" s="97"/>
      <c r="AL124" s="96"/>
      <c r="AW124" s="72"/>
      <c r="AX124" s="75"/>
      <c r="AY124" s="75"/>
      <c r="AZ124" s="75"/>
      <c r="BA124" s="75"/>
      <c r="BB124" s="72"/>
      <c r="BC124" s="72"/>
      <c r="BD124" s="72"/>
      <c r="BE124" s="72"/>
      <c r="BF124" s="168">
        <v>401.73309999999998</v>
      </c>
      <c r="BG124" s="74">
        <v>6.85</v>
      </c>
      <c r="BH124" s="93">
        <v>110.36697247706422</v>
      </c>
      <c r="BI124" s="93">
        <v>107.2683629380701</v>
      </c>
      <c r="BJ124" s="93">
        <v>12.624543883234105</v>
      </c>
      <c r="BK124" s="88">
        <f t="shared" si="24"/>
        <v>3.0986095389941255</v>
      </c>
      <c r="BL124" s="88"/>
      <c r="BM124" s="88"/>
      <c r="BN124" s="88"/>
      <c r="BO124" s="88"/>
      <c r="BU124" s="70">
        <v>20.03979</v>
      </c>
      <c r="BV124" s="70">
        <v>1.9923</v>
      </c>
      <c r="BW124" s="71">
        <v>79.609589999999997</v>
      </c>
      <c r="BX124" s="71">
        <f t="shared" si="28"/>
        <v>61.815406954172033</v>
      </c>
      <c r="CC124" s="72"/>
      <c r="CD124" s="72"/>
      <c r="CE124" s="72"/>
      <c r="CF124" s="72">
        <f t="shared" si="49"/>
        <v>159.91076228710352</v>
      </c>
      <c r="CG124" s="72"/>
      <c r="CH124" s="72"/>
      <c r="CI124" s="72"/>
      <c r="CJ124" s="72"/>
      <c r="CK124" s="168">
        <v>396.91120000000001</v>
      </c>
      <c r="CL124" s="74">
        <v>6.81</v>
      </c>
      <c r="CM124" s="69"/>
      <c r="CN124" s="69"/>
      <c r="CO124" s="69"/>
      <c r="CP124" s="69"/>
      <c r="CQ124" s="76"/>
      <c r="CR124" s="76"/>
      <c r="CS124" s="177"/>
      <c r="CT124" s="70"/>
      <c r="CU124" s="76"/>
      <c r="CV124" s="77"/>
      <c r="CW124" s="77"/>
      <c r="CX124" s="77"/>
      <c r="CY124" s="77"/>
      <c r="CZ124" s="77"/>
      <c r="DA124" s="66"/>
      <c r="DB124" s="66"/>
      <c r="DC124" s="66"/>
      <c r="DD124" s="66"/>
      <c r="DE124" s="66"/>
      <c r="DF124" s="66"/>
      <c r="DG124" s="66"/>
      <c r="DH124" s="66"/>
      <c r="DI124" s="168">
        <v>25.689969999999999</v>
      </c>
      <c r="DJ124" s="67">
        <v>6.64</v>
      </c>
      <c r="DK124" s="69">
        <v>16.304062909567495</v>
      </c>
      <c r="DL124" s="69">
        <v>2.0854536725876143</v>
      </c>
      <c r="DM124" s="69">
        <v>84.555406183983095</v>
      </c>
      <c r="DN124" s="69">
        <f t="shared" si="47"/>
        <v>14.21860923697988</v>
      </c>
      <c r="DO124" s="69"/>
      <c r="DP124" s="69"/>
      <c r="DQ124" s="69"/>
      <c r="DR124" s="69"/>
      <c r="DS124" s="70"/>
      <c r="DT124" s="70"/>
      <c r="DU124" s="70"/>
      <c r="DV124" s="177">
        <v>354.79219999999998</v>
      </c>
      <c r="DW124" s="177">
        <f t="shared" si="43"/>
        <v>80.147557979999988</v>
      </c>
      <c r="DX124" s="70">
        <v>18.408709999999999</v>
      </c>
      <c r="DY124" s="70">
        <v>48.625</v>
      </c>
      <c r="DZ124" s="71">
        <v>0.21842</v>
      </c>
      <c r="EA124" s="71">
        <f t="shared" si="44"/>
        <v>0.169599180035097</v>
      </c>
      <c r="EB124" s="180"/>
      <c r="EC124" s="180"/>
      <c r="ED124" s="71"/>
      <c r="EE124" s="180"/>
      <c r="EF124" s="66"/>
      <c r="EG124" s="66"/>
      <c r="EH124" s="79">
        <f t="shared" si="48"/>
        <v>44.54160244757378</v>
      </c>
      <c r="EI124" s="66"/>
      <c r="EJ124" s="79"/>
      <c r="EK124" s="66"/>
      <c r="EL124" s="168">
        <v>12.979559999999999</v>
      </c>
      <c r="EM124" s="67">
        <v>6.66</v>
      </c>
      <c r="EN124" s="78">
        <f t="shared" si="32"/>
        <v>26.996098829648897</v>
      </c>
      <c r="EO124" s="78">
        <f t="shared" si="33"/>
        <v>-109.80281690140843</v>
      </c>
      <c r="EP124" s="78">
        <f t="shared" si="34"/>
        <v>24.907470870459221</v>
      </c>
      <c r="EQ124" s="78">
        <f t="shared" si="35"/>
        <v>96.902981519615665</v>
      </c>
      <c r="ER124" s="79">
        <f t="shared" si="50"/>
        <v>56.69383389841758</v>
      </c>
      <c r="ES124" s="66"/>
      <c r="ET124" s="66"/>
      <c r="EU124" s="66"/>
      <c r="EV124" s="79">
        <f t="shared" si="45"/>
        <v>85.788691663750257</v>
      </c>
      <c r="EW124" s="79">
        <f t="shared" si="51"/>
        <v>72.145963279442157</v>
      </c>
      <c r="EX124" s="66"/>
      <c r="EY124" s="66"/>
      <c r="EZ124" s="66"/>
      <c r="FA124" s="66"/>
      <c r="FB124" s="79">
        <f t="shared" si="46"/>
        <v>87.937484591799461</v>
      </c>
    </row>
    <row r="125" spans="1:158" hidden="1" x14ac:dyDescent="0.3">
      <c r="A125" s="86">
        <v>44762</v>
      </c>
      <c r="B125" s="106">
        <f t="shared" si="29"/>
        <v>63</v>
      </c>
      <c r="C125" s="96">
        <v>332.51282051282044</v>
      </c>
      <c r="D125" s="93">
        <v>45.874060150375939</v>
      </c>
      <c r="E125" s="93">
        <v>13.938184284468559</v>
      </c>
      <c r="F125" s="96">
        <f t="shared" si="22"/>
        <v>286.63876036244449</v>
      </c>
      <c r="G125" s="96"/>
      <c r="H125" s="96"/>
      <c r="I125" s="96"/>
      <c r="J125" s="96"/>
      <c r="N125" s="70">
        <v>0.38700000000000001</v>
      </c>
      <c r="O125" s="70">
        <f t="shared" si="41"/>
        <v>8.7423299999999995E-2</v>
      </c>
      <c r="P125" s="70">
        <v>7.5153999999999996</v>
      </c>
      <c r="Q125" s="70">
        <v>40.473500000000001</v>
      </c>
      <c r="X125" s="72"/>
      <c r="Y125" s="73"/>
      <c r="Z125" s="73"/>
      <c r="AA125" s="72">
        <f t="shared" si="40"/>
        <v>1031.4922882783881</v>
      </c>
      <c r="AB125" s="72"/>
      <c r="AC125" s="72"/>
      <c r="AD125" s="72"/>
      <c r="AE125" s="72"/>
      <c r="AF125" s="72"/>
      <c r="AH125" s="74">
        <v>6.9</v>
      </c>
      <c r="AI125" s="97"/>
      <c r="AJ125" s="97"/>
      <c r="AK125" s="97"/>
      <c r="AL125" s="96"/>
      <c r="AW125" s="72"/>
      <c r="AX125" s="75"/>
      <c r="AY125" s="75"/>
      <c r="AZ125" s="75"/>
      <c r="BA125" s="75"/>
      <c r="BB125" s="72"/>
      <c r="BC125" s="72"/>
      <c r="BD125" s="72"/>
      <c r="BE125" s="72"/>
      <c r="BG125" s="74">
        <v>6.83</v>
      </c>
      <c r="BH125" s="93">
        <v>106.74871794871794</v>
      </c>
      <c r="BI125" s="93">
        <v>106.46616541353383</v>
      </c>
      <c r="BJ125" s="93">
        <v>14.956690243193487</v>
      </c>
      <c r="BK125" s="88">
        <f t="shared" si="24"/>
        <v>0.28255253518410939</v>
      </c>
      <c r="BL125" s="88"/>
      <c r="BM125" s="88"/>
      <c r="BN125" s="88"/>
      <c r="BO125" s="88"/>
      <c r="BS125" s="70">
        <v>0.1828198</v>
      </c>
      <c r="BT125" s="70">
        <f t="shared" si="27"/>
        <v>4.1298992819999998E-2</v>
      </c>
      <c r="BU125" s="70">
        <v>22.373799999999999</v>
      </c>
      <c r="BV125" s="70">
        <v>4.2827000000000002</v>
      </c>
      <c r="CC125" s="72"/>
      <c r="CD125" s="72"/>
      <c r="CE125" s="72"/>
      <c r="CF125" s="72">
        <f t="shared" si="49"/>
        <v>150.82193830730671</v>
      </c>
      <c r="CG125" s="72"/>
      <c r="CH125" s="72"/>
      <c r="CI125" s="72"/>
      <c r="CJ125" s="72"/>
      <c r="CL125" s="74">
        <v>6.85</v>
      </c>
      <c r="CM125" s="69"/>
      <c r="CN125" s="69"/>
      <c r="CO125" s="69"/>
      <c r="CP125" s="69"/>
      <c r="CQ125" s="76"/>
      <c r="CR125" s="76"/>
      <c r="CS125" s="177"/>
      <c r="CT125" s="70"/>
      <c r="CU125" s="76"/>
      <c r="CV125" s="77"/>
      <c r="CW125" s="77"/>
      <c r="CX125" s="77"/>
      <c r="CY125" s="77"/>
      <c r="CZ125" s="77"/>
      <c r="DA125" s="66"/>
      <c r="DB125" s="66"/>
      <c r="DC125" s="66"/>
      <c r="DD125" s="66"/>
      <c r="DE125" s="66"/>
      <c r="DF125" s="66"/>
      <c r="DG125" s="66"/>
      <c r="DH125" s="66"/>
      <c r="DI125" s="168"/>
      <c r="DJ125" s="67">
        <v>6.95</v>
      </c>
      <c r="DK125" s="69">
        <v>20.444444444444443</v>
      </c>
      <c r="DL125" s="69">
        <v>7.246240601503759</v>
      </c>
      <c r="DM125" s="69">
        <v>90.712140296482886</v>
      </c>
      <c r="DN125" s="69">
        <f t="shared" si="47"/>
        <v>13.198203842940684</v>
      </c>
      <c r="DO125" s="69"/>
      <c r="DP125" s="69"/>
      <c r="DQ125" s="69"/>
      <c r="DR125" s="69"/>
      <c r="DS125" s="70"/>
      <c r="DT125" s="70"/>
      <c r="DU125" s="70"/>
      <c r="DV125" s="177"/>
      <c r="DW125" s="177"/>
      <c r="DX125" s="70">
        <v>27.832899999999999</v>
      </c>
      <c r="DY125" s="70">
        <v>63.879300000000001</v>
      </c>
      <c r="DZ125" s="71"/>
      <c r="EA125" s="71"/>
      <c r="EB125" s="180"/>
      <c r="EC125" s="180"/>
      <c r="ED125" s="71"/>
      <c r="EE125" s="180"/>
      <c r="EF125" s="66"/>
      <c r="EG125" s="66"/>
      <c r="EH125" s="79">
        <f t="shared" si="48"/>
        <v>39.960696512113614</v>
      </c>
      <c r="EI125" s="66"/>
      <c r="EJ125" s="79"/>
      <c r="EK125" s="66"/>
      <c r="EL125" s="168"/>
      <c r="EM125" s="67">
        <v>6.98</v>
      </c>
      <c r="EN125" s="78">
        <f t="shared" si="32"/>
        <v>67.896360271437388</v>
      </c>
      <c r="EO125" s="78">
        <f t="shared" si="33"/>
        <v>-132.08358942839581</v>
      </c>
      <c r="EP125" s="78">
        <f t="shared" si="34"/>
        <v>-7.3073073073072949</v>
      </c>
      <c r="EQ125" s="78">
        <f t="shared" si="35"/>
        <v>99.901425566163198</v>
      </c>
      <c r="ER125" s="79">
        <f t="shared" si="50"/>
        <v>85.378277664195039</v>
      </c>
      <c r="ES125" s="66"/>
      <c r="ET125" s="66"/>
      <c r="EU125" s="66"/>
      <c r="EV125" s="79">
        <f t="shared" si="45"/>
        <v>95.395527169370936</v>
      </c>
      <c r="EW125" s="79">
        <f t="shared" si="51"/>
        <v>73.504718901906813</v>
      </c>
      <c r="EX125" s="66"/>
      <c r="EY125" s="66"/>
      <c r="EZ125" s="66"/>
      <c r="FA125" s="66"/>
      <c r="FB125" s="79">
        <f t="shared" si="46"/>
        <v>96.125933565745797</v>
      </c>
    </row>
    <row r="126" spans="1:158" hidden="1" x14ac:dyDescent="0.3">
      <c r="A126" s="86">
        <v>44764</v>
      </c>
      <c r="B126" s="106">
        <f t="shared" si="29"/>
        <v>65</v>
      </c>
      <c r="C126" s="96">
        <v>207.04564666103127</v>
      </c>
      <c r="D126" s="93">
        <v>41.52473888846535</v>
      </c>
      <c r="E126" s="93">
        <v>18.986649550706034</v>
      </c>
      <c r="F126" s="96">
        <f t="shared" si="22"/>
        <v>165.52090777256592</v>
      </c>
      <c r="G126" s="96"/>
      <c r="H126" s="96"/>
      <c r="I126" s="96"/>
      <c r="J126" s="96"/>
      <c r="K126" s="70">
        <v>38.951599999999999</v>
      </c>
      <c r="P126" s="70">
        <v>1.5773999999999999</v>
      </c>
      <c r="Q126" s="70">
        <v>14.006500000000001</v>
      </c>
      <c r="X126" s="72"/>
      <c r="Y126" s="73"/>
      <c r="Z126" s="73"/>
      <c r="AA126" s="72">
        <f t="shared" si="40"/>
        <v>601.62080586639092</v>
      </c>
      <c r="AB126" s="72"/>
      <c r="AC126" s="72"/>
      <c r="AD126" s="72"/>
      <c r="AE126" s="72"/>
      <c r="AF126" s="72"/>
      <c r="AH126" s="74">
        <v>6.47</v>
      </c>
      <c r="AI126" s="97"/>
      <c r="AJ126" s="97"/>
      <c r="AK126" s="97"/>
      <c r="AL126" s="96"/>
      <c r="AW126" s="72"/>
      <c r="AX126" s="75"/>
      <c r="AY126" s="75"/>
      <c r="AZ126" s="75"/>
      <c r="BA126" s="75"/>
      <c r="BB126" s="72"/>
      <c r="BC126" s="72"/>
      <c r="BD126" s="72"/>
      <c r="BE126" s="72"/>
      <c r="BG126" s="74">
        <v>7.11</v>
      </c>
      <c r="BH126" s="93">
        <v>100.11834319526629</v>
      </c>
      <c r="BI126" s="93">
        <v>104.73126477090796</v>
      </c>
      <c r="BJ126" s="93">
        <v>15.490629011553272</v>
      </c>
      <c r="BK126" s="88">
        <f t="shared" si="24"/>
        <v>-4.6129215756416642</v>
      </c>
      <c r="BL126" s="88"/>
      <c r="BM126" s="88"/>
      <c r="BN126" s="88"/>
      <c r="BO126" s="88"/>
      <c r="BP126" s="70">
        <v>28.124099999999999</v>
      </c>
      <c r="BU126" s="70">
        <v>8.2538999999999998</v>
      </c>
      <c r="BV126" s="70">
        <v>2.4674</v>
      </c>
      <c r="CC126" s="72"/>
      <c r="CD126" s="72"/>
      <c r="CE126" s="72"/>
      <c r="CF126" s="72">
        <f t="shared" si="49"/>
        <v>135.02179561461654</v>
      </c>
      <c r="CG126" s="72"/>
      <c r="CH126" s="72"/>
      <c r="CI126" s="72"/>
      <c r="CJ126" s="72"/>
      <c r="CL126" s="74">
        <v>6.94</v>
      </c>
      <c r="CM126" s="69"/>
      <c r="CN126" s="69"/>
      <c r="CO126" s="69"/>
      <c r="CP126" s="69"/>
      <c r="CQ126" s="76"/>
      <c r="CR126" s="76"/>
      <c r="CS126" s="177"/>
      <c r="CT126" s="70"/>
      <c r="CU126" s="76"/>
      <c r="CV126" s="77"/>
      <c r="CW126" s="77"/>
      <c r="CX126" s="77"/>
      <c r="CY126" s="77"/>
      <c r="CZ126" s="77"/>
      <c r="DA126" s="66"/>
      <c r="DB126" s="66"/>
      <c r="DC126" s="66"/>
      <c r="DD126" s="66"/>
      <c r="DE126" s="66"/>
      <c r="DF126" s="66"/>
      <c r="DG126" s="66"/>
      <c r="DH126" s="66"/>
      <c r="DI126" s="168"/>
      <c r="DJ126" s="67">
        <v>6.77</v>
      </c>
      <c r="DK126" s="69">
        <v>13.110735418427728</v>
      </c>
      <c r="DL126" s="69">
        <v>1.7601585728444002</v>
      </c>
      <c r="DM126" s="69">
        <v>80.734274711168155</v>
      </c>
      <c r="DN126" s="69">
        <f t="shared" si="47"/>
        <v>11.350576845583328</v>
      </c>
      <c r="DO126" s="69"/>
      <c r="DP126" s="69"/>
      <c r="DQ126" s="69"/>
      <c r="DR126" s="69"/>
      <c r="DS126" s="70">
        <v>54.326999999999998</v>
      </c>
      <c r="DT126" s="70"/>
      <c r="DU126" s="70"/>
      <c r="DV126" s="177">
        <v>419.43900000000002</v>
      </c>
      <c r="DW126" s="177">
        <f t="shared" si="43"/>
        <v>94.751270099999999</v>
      </c>
      <c r="DX126" s="70">
        <v>15.3657</v>
      </c>
      <c r="DY126" s="70">
        <v>41.719299999999997</v>
      </c>
      <c r="DZ126" s="71"/>
      <c r="EA126" s="71"/>
      <c r="EB126" s="180"/>
      <c r="EC126" s="180"/>
      <c r="ED126" s="71"/>
      <c r="EE126" s="180"/>
      <c r="EF126" s="66"/>
      <c r="EG126" s="66"/>
      <c r="EH126" s="79">
        <f t="shared" si="48"/>
        <v>31.666144632877234</v>
      </c>
      <c r="EI126" s="66"/>
      <c r="EJ126" s="79"/>
      <c r="EK126" s="66"/>
      <c r="EL126" s="168"/>
      <c r="EM126" s="67">
        <v>6.66</v>
      </c>
      <c r="EN126" s="78">
        <f t="shared" si="32"/>
        <v>51.644313797538111</v>
      </c>
      <c r="EO126" s="78">
        <f t="shared" si="33"/>
        <v>-152.21414408460006</v>
      </c>
      <c r="EP126" s="78">
        <f t="shared" si="34"/>
        <v>18.413046123889504</v>
      </c>
      <c r="EQ126" s="78">
        <f t="shared" si="35"/>
        <v>102.78691171871776</v>
      </c>
      <c r="ER126" s="79">
        <f t="shared" si="50"/>
        <v>77.556993658127837</v>
      </c>
      <c r="ES126" s="66"/>
      <c r="ET126" s="66"/>
      <c r="EU126" s="66"/>
      <c r="EV126" s="79">
        <f t="shared" si="45"/>
        <v>93.142511723546377</v>
      </c>
      <c r="EW126" s="79">
        <f t="shared" si="51"/>
        <v>76.547382969739388</v>
      </c>
      <c r="EX126" s="66"/>
      <c r="EY126" s="66"/>
      <c r="EZ126" s="66"/>
      <c r="FA126" s="66"/>
      <c r="FB126" s="79">
        <f t="shared" si="46"/>
        <v>94.736527672563625</v>
      </c>
    </row>
    <row r="127" spans="1:158" s="116" customFormat="1" hidden="1" x14ac:dyDescent="0.3">
      <c r="A127" s="105">
        <v>44767</v>
      </c>
      <c r="B127" s="106">
        <f t="shared" si="29"/>
        <v>68</v>
      </c>
      <c r="C127" s="107">
        <v>114.15469146238378</v>
      </c>
      <c r="D127" s="108">
        <v>52.365632385453978</v>
      </c>
      <c r="E127" s="108">
        <v>18.570731707317073</v>
      </c>
      <c r="F127" s="107">
        <f t="shared" si="22"/>
        <v>61.789059076929803</v>
      </c>
      <c r="G127" s="107"/>
      <c r="H127" s="107"/>
      <c r="I127" s="107"/>
      <c r="J127" s="107"/>
      <c r="K127" s="109">
        <v>37.648800000000001</v>
      </c>
      <c r="L127" s="109"/>
      <c r="M127" s="109"/>
      <c r="N127" s="109">
        <v>0.5302</v>
      </c>
      <c r="O127" s="109">
        <f t="shared" si="41"/>
        <v>0.11977217999999999</v>
      </c>
      <c r="P127" s="109">
        <v>3.6046</v>
      </c>
      <c r="Q127" s="109">
        <v>15.785500000000001</v>
      </c>
      <c r="R127" s="109"/>
      <c r="S127" s="109"/>
      <c r="T127" s="109"/>
      <c r="U127" s="109"/>
      <c r="V127" s="109"/>
      <c r="W127" s="109"/>
      <c r="X127" s="109"/>
      <c r="Y127" s="110"/>
      <c r="Z127" s="110"/>
      <c r="AA127" s="109">
        <f t="shared" si="40"/>
        <v>233.45572847583924</v>
      </c>
      <c r="AB127" s="109"/>
      <c r="AC127" s="109"/>
      <c r="AD127" s="109"/>
      <c r="AE127" s="109"/>
      <c r="AF127" s="109"/>
      <c r="AG127" s="109"/>
      <c r="AH127" s="109">
        <v>7.17</v>
      </c>
      <c r="AI127" s="111"/>
      <c r="AJ127" s="111"/>
      <c r="AK127" s="111"/>
      <c r="AL127" s="107"/>
      <c r="AM127" s="109"/>
      <c r="AN127" s="109"/>
      <c r="AO127" s="109"/>
      <c r="AP127" s="109"/>
      <c r="AQ127" s="109"/>
      <c r="AR127" s="109"/>
      <c r="AS127" s="109"/>
      <c r="AT127" s="109"/>
      <c r="AU127" s="109"/>
      <c r="AV127" s="109"/>
      <c r="AW127" s="109"/>
      <c r="AX127" s="113"/>
      <c r="AY127" s="113"/>
      <c r="AZ127" s="113"/>
      <c r="BA127" s="113"/>
      <c r="BB127" s="109"/>
      <c r="BC127" s="109"/>
      <c r="BD127" s="109"/>
      <c r="BE127" s="109"/>
      <c r="BF127" s="109"/>
      <c r="BG127" s="109">
        <v>7.3</v>
      </c>
      <c r="BH127" s="108">
        <v>108.56297548605242</v>
      </c>
      <c r="BI127" s="108">
        <v>54.451475184874589</v>
      </c>
      <c r="BJ127" s="108">
        <v>14.240564826700899</v>
      </c>
      <c r="BK127" s="114">
        <f t="shared" si="24"/>
        <v>54.111500301177834</v>
      </c>
      <c r="BL127" s="114"/>
      <c r="BM127" s="114"/>
      <c r="BN127" s="114"/>
      <c r="BO127" s="114"/>
      <c r="BP127" s="109">
        <v>33.751399999999997</v>
      </c>
      <c r="BQ127" s="109"/>
      <c r="BR127" s="109"/>
      <c r="BS127" s="109"/>
      <c r="BT127" s="109"/>
      <c r="BU127" s="109"/>
      <c r="BV127" s="109"/>
      <c r="BW127" s="109"/>
      <c r="BX127" s="109"/>
      <c r="BY127" s="109"/>
      <c r="BZ127" s="109"/>
      <c r="CA127" s="109"/>
      <c r="CB127" s="109"/>
      <c r="CC127" s="109"/>
      <c r="CD127" s="109"/>
      <c r="CE127" s="109"/>
      <c r="CF127" s="109">
        <f t="shared" si="49"/>
        <v>324.55486722205148</v>
      </c>
      <c r="CG127" s="109"/>
      <c r="CH127" s="109"/>
      <c r="CI127" s="109"/>
      <c r="CJ127" s="109"/>
      <c r="CK127" s="109"/>
      <c r="CL127" s="109">
        <v>7.19</v>
      </c>
      <c r="CM127" s="109"/>
      <c r="CN127" s="109"/>
      <c r="CO127" s="109"/>
      <c r="CP127" s="109"/>
      <c r="CQ127" s="115"/>
      <c r="CR127" s="115"/>
      <c r="CS127" s="113"/>
      <c r="CT127" s="109"/>
      <c r="CU127" s="115"/>
      <c r="CV127" s="115"/>
      <c r="CW127" s="115"/>
      <c r="CX127" s="115"/>
      <c r="CY127" s="115"/>
      <c r="CZ127" s="115"/>
      <c r="DA127" s="115"/>
      <c r="DB127" s="115"/>
      <c r="DC127" s="115"/>
      <c r="DD127" s="115"/>
      <c r="DE127" s="115"/>
      <c r="DF127" s="115"/>
      <c r="DG127" s="115"/>
      <c r="DH127" s="115"/>
      <c r="DI127" s="109"/>
      <c r="DJ127" s="115">
        <v>7.65</v>
      </c>
      <c r="DK127" s="109">
        <v>82.202028740490292</v>
      </c>
      <c r="DL127" s="109">
        <v>44.241823587710599</v>
      </c>
      <c r="DM127" s="109">
        <v>13.313992297817713</v>
      </c>
      <c r="DN127" s="109">
        <f t="shared" si="47"/>
        <v>37.960205152779693</v>
      </c>
      <c r="DO127" s="109"/>
      <c r="DP127" s="109"/>
      <c r="DQ127" s="109"/>
      <c r="DR127" s="109"/>
      <c r="DS127" s="109">
        <v>52.164499999999997</v>
      </c>
      <c r="DT127" s="109"/>
      <c r="DU127" s="109"/>
      <c r="DV127" s="113">
        <v>3.9935</v>
      </c>
      <c r="DW127" s="113">
        <f t="shared" si="43"/>
        <v>0.90213164999999995</v>
      </c>
      <c r="DX127" s="109">
        <v>7.2926000000000002</v>
      </c>
      <c r="DY127" s="109">
        <v>36.604399999999998</v>
      </c>
      <c r="DZ127" s="109"/>
      <c r="EA127" s="109"/>
      <c r="EB127" s="113"/>
      <c r="EC127" s="113"/>
      <c r="ED127" s="109"/>
      <c r="EE127" s="113"/>
      <c r="EF127" s="115"/>
      <c r="EG127" s="115"/>
      <c r="EH127" s="109">
        <f t="shared" si="48"/>
        <v>151.1247489923739</v>
      </c>
      <c r="EI127" s="115"/>
      <c r="EJ127" s="109"/>
      <c r="EK127" s="115"/>
      <c r="EL127" s="109"/>
      <c r="EM127" s="115">
        <v>8.06</v>
      </c>
      <c r="EN127" s="109">
        <f t="shared" si="32"/>
        <v>4.8983672109296865</v>
      </c>
      <c r="EO127" s="109">
        <f t="shared" si="33"/>
        <v>-3.983228511530422</v>
      </c>
      <c r="EP127" s="109">
        <f t="shared" si="34"/>
        <v>23.31715814358591</v>
      </c>
      <c r="EQ127" s="109">
        <f t="shared" si="35"/>
        <v>12.425434033868532</v>
      </c>
      <c r="ER127" s="109"/>
      <c r="ES127" s="115"/>
      <c r="ET127" s="115"/>
      <c r="EU127" s="115"/>
      <c r="EV127" s="109">
        <f t="shared" si="45"/>
        <v>38.564843485449828</v>
      </c>
      <c r="EW127" s="109">
        <f t="shared" si="51"/>
        <v>53.436301761273995</v>
      </c>
      <c r="EX127" s="115"/>
      <c r="EY127" s="115"/>
      <c r="EZ127" s="115"/>
      <c r="FA127" s="115"/>
      <c r="FB127" s="109">
        <f t="shared" si="46"/>
        <v>35.266206582712286</v>
      </c>
    </row>
    <row r="128" spans="1:158" hidden="1" x14ac:dyDescent="0.3">
      <c r="A128" s="86">
        <v>44768</v>
      </c>
      <c r="B128" s="106">
        <f t="shared" si="29"/>
        <v>69</v>
      </c>
      <c r="C128" s="96">
        <v>142.9881656804734</v>
      </c>
      <c r="D128" s="93">
        <v>46.766791187009218</v>
      </c>
      <c r="E128" s="93">
        <v>13.977150192554557</v>
      </c>
      <c r="F128" s="96">
        <f t="shared" si="22"/>
        <v>96.221374493464182</v>
      </c>
      <c r="G128" s="96"/>
      <c r="H128" s="96"/>
      <c r="I128" s="96"/>
      <c r="J128" s="96"/>
      <c r="K128" s="70">
        <v>22.774000000000001</v>
      </c>
      <c r="P128" s="70">
        <v>3.2984</v>
      </c>
      <c r="Q128" s="70">
        <v>7.7572999999999999</v>
      </c>
      <c r="X128" s="72"/>
      <c r="Y128" s="73"/>
      <c r="Z128" s="73"/>
      <c r="AA128" s="72">
        <f t="shared" si="40"/>
        <v>355.66290235220305</v>
      </c>
      <c r="AB128" s="72"/>
      <c r="AC128" s="72"/>
      <c r="AD128" s="72"/>
      <c r="AE128" s="72"/>
      <c r="AF128" s="72"/>
      <c r="AH128" s="74">
        <v>6.85</v>
      </c>
      <c r="AI128" s="97"/>
      <c r="AJ128" s="97"/>
      <c r="AK128" s="97"/>
      <c r="AL128" s="96"/>
      <c r="AW128" s="72"/>
      <c r="AX128" s="75"/>
      <c r="AY128" s="75"/>
      <c r="AZ128" s="75"/>
      <c r="BA128" s="75"/>
      <c r="BB128" s="72"/>
      <c r="BC128" s="72"/>
      <c r="BD128" s="72"/>
      <c r="BE128" s="72"/>
      <c r="BG128" s="74">
        <v>7.07</v>
      </c>
      <c r="BH128" s="93">
        <v>89.201183431952671</v>
      </c>
      <c r="BI128" s="93">
        <v>81.238087977433864</v>
      </c>
      <c r="BJ128" s="93">
        <v>13.207702182284979</v>
      </c>
      <c r="BK128" s="88">
        <f t="shared" si="24"/>
        <v>7.9630954545188075</v>
      </c>
      <c r="BL128" s="88"/>
      <c r="BM128" s="88"/>
      <c r="BN128" s="88"/>
      <c r="BO128" s="88"/>
      <c r="BP128" s="70">
        <v>31.703099999999999</v>
      </c>
      <c r="BU128" s="70">
        <v>8.1875999999999998</v>
      </c>
      <c r="BV128" s="70">
        <v>0.82520000000000004</v>
      </c>
      <c r="CC128" s="72"/>
      <c r="CD128" s="72"/>
      <c r="CE128" s="72"/>
      <c r="CF128" s="72">
        <f t="shared" si="49"/>
        <v>175.61089057945944</v>
      </c>
      <c r="CG128" s="72"/>
      <c r="CH128" s="72"/>
      <c r="CI128" s="72"/>
      <c r="CJ128" s="72"/>
      <c r="CL128" s="74">
        <v>6.98</v>
      </c>
      <c r="CM128" s="69"/>
      <c r="CN128" s="69"/>
      <c r="CO128" s="69"/>
      <c r="CP128" s="69"/>
      <c r="CQ128" s="76"/>
      <c r="CR128" s="76"/>
      <c r="CS128" s="177"/>
      <c r="CT128" s="70"/>
      <c r="CU128" s="76"/>
      <c r="CV128" s="77"/>
      <c r="CW128" s="77"/>
      <c r="CX128" s="77"/>
      <c r="CY128" s="77"/>
      <c r="CZ128" s="77"/>
      <c r="DA128" s="66"/>
      <c r="DB128" s="66"/>
      <c r="DC128" s="66"/>
      <c r="DD128" s="66"/>
      <c r="DE128" s="66"/>
      <c r="DF128" s="66"/>
      <c r="DG128" s="66"/>
      <c r="DH128" s="66"/>
      <c r="DI128" s="168"/>
      <c r="DJ128" s="67">
        <v>7.08</v>
      </c>
      <c r="DK128" s="69">
        <v>14.657650042265429</v>
      </c>
      <c r="DL128" s="69">
        <v>4.0097583288861784</v>
      </c>
      <c r="DM128" s="69">
        <v>50.002567394094996</v>
      </c>
      <c r="DN128" s="69">
        <f t="shared" si="47"/>
        <v>10.64789171337925</v>
      </c>
      <c r="DO128" s="69"/>
      <c r="DP128" s="69"/>
      <c r="DQ128" s="69"/>
      <c r="DR128" s="69"/>
      <c r="DS128" s="70">
        <v>55.200099999999999</v>
      </c>
      <c r="DT128" s="70"/>
      <c r="DU128" s="70"/>
      <c r="DV128" s="177">
        <v>343.37099999999998</v>
      </c>
      <c r="DW128" s="177">
        <f t="shared" si="43"/>
        <v>77.567508899999993</v>
      </c>
      <c r="DX128" s="70">
        <v>8.4105000000000008</v>
      </c>
      <c r="DY128" s="70">
        <v>69.510800000000003</v>
      </c>
      <c r="DZ128" s="71"/>
      <c r="EA128" s="71"/>
      <c r="EB128" s="180"/>
      <c r="EC128" s="180"/>
      <c r="ED128" s="71"/>
      <c r="EE128" s="180"/>
      <c r="EF128" s="66"/>
      <c r="EG128" s="66"/>
      <c r="EH128" s="79">
        <f t="shared" si="48"/>
        <v>28.511580268873473</v>
      </c>
      <c r="EI128" s="66"/>
      <c r="EJ128" s="79"/>
      <c r="EK128" s="66"/>
      <c r="EL128" s="168"/>
      <c r="EM128" s="67">
        <v>7.14</v>
      </c>
      <c r="EN128" s="78">
        <f t="shared" si="32"/>
        <v>37.616387337057731</v>
      </c>
      <c r="EO128" s="78">
        <f t="shared" si="33"/>
        <v>-73.708920187793453</v>
      </c>
      <c r="EP128" s="78">
        <f t="shared" si="34"/>
        <v>5.505042155728229</v>
      </c>
      <c r="EQ128" s="78">
        <f t="shared" si="35"/>
        <v>91.72419278311213</v>
      </c>
      <c r="ER128" s="79">
        <f t="shared" ref="ER128:ER150" si="52">(AA128-CF128)/AA128*100</f>
        <v>50.624344170268046</v>
      </c>
      <c r="ES128" s="66"/>
      <c r="ET128" s="66"/>
      <c r="EU128" s="66"/>
      <c r="EV128" s="79">
        <f t="shared" si="45"/>
        <v>88.933964236706558</v>
      </c>
      <c r="EW128" s="79">
        <f t="shared" si="51"/>
        <v>83.764343899860407</v>
      </c>
      <c r="EX128" s="66"/>
      <c r="EY128" s="66"/>
      <c r="EZ128" s="66"/>
      <c r="FA128" s="66"/>
      <c r="FB128" s="79">
        <f t="shared" si="46"/>
        <v>91.983538322296184</v>
      </c>
    </row>
    <row r="129" spans="1:158" hidden="1" x14ac:dyDescent="0.3">
      <c r="A129" s="86">
        <v>44769</v>
      </c>
      <c r="B129" s="106">
        <f t="shared" si="29"/>
        <v>70</v>
      </c>
      <c r="C129" s="96">
        <v>88.987966068258046</v>
      </c>
      <c r="D129" s="93">
        <v>44.642459345065717</v>
      </c>
      <c r="E129" s="93">
        <v>10.380665427270978</v>
      </c>
      <c r="F129" s="96">
        <f t="shared" si="22"/>
        <v>44.345506723192329</v>
      </c>
      <c r="G129" s="96"/>
      <c r="H129" s="96"/>
      <c r="I129" s="96"/>
      <c r="J129" s="96"/>
      <c r="K129" s="70">
        <v>31.891400000000001</v>
      </c>
      <c r="N129" s="70">
        <v>0.20710000000000001</v>
      </c>
      <c r="O129" s="70">
        <f t="shared" si="41"/>
        <v>4.6783890000000002E-2</v>
      </c>
      <c r="P129" s="70">
        <v>3.8294999999999999</v>
      </c>
      <c r="Q129" s="70">
        <v>13.064399999999999</v>
      </c>
      <c r="X129" s="72"/>
      <c r="Y129" s="73"/>
      <c r="Z129" s="73"/>
      <c r="AA129" s="72">
        <f t="shared" si="40"/>
        <v>171.54507246195422</v>
      </c>
      <c r="AB129" s="72"/>
      <c r="AC129" s="72"/>
      <c r="AD129" s="72"/>
      <c r="AE129" s="72"/>
      <c r="AF129" s="72"/>
      <c r="AH129" s="74">
        <v>7.04</v>
      </c>
      <c r="AI129" s="97"/>
      <c r="AJ129" s="97"/>
      <c r="AK129" s="97"/>
      <c r="AL129" s="96"/>
      <c r="AW129" s="72"/>
      <c r="AX129" s="75"/>
      <c r="AY129" s="75"/>
      <c r="AZ129" s="75"/>
      <c r="BA129" s="75"/>
      <c r="BB129" s="72"/>
      <c r="BC129" s="72"/>
      <c r="BD129" s="72"/>
      <c r="BE129" s="72"/>
      <c r="BG129" s="74">
        <v>6.87</v>
      </c>
      <c r="BH129" s="93">
        <v>89.911225093706861</v>
      </c>
      <c r="BI129" s="93">
        <v>100.833147694364</v>
      </c>
      <c r="BJ129" s="93">
        <v>12.46695300980832</v>
      </c>
      <c r="BK129" s="88">
        <f t="shared" si="24"/>
        <v>-10.92192260065714</v>
      </c>
      <c r="BL129" s="88"/>
      <c r="BM129" s="88"/>
      <c r="BN129" s="88"/>
      <c r="BO129" s="88"/>
      <c r="BP129" s="70">
        <v>36.356999999999999</v>
      </c>
      <c r="BS129" s="70">
        <v>0.1759</v>
      </c>
      <c r="BT129" s="70">
        <f t="shared" si="27"/>
        <v>3.9735809999999996E-2</v>
      </c>
      <c r="BU129" s="70">
        <v>12.723000000000001</v>
      </c>
      <c r="BV129" s="70">
        <v>2.0569000000000002</v>
      </c>
      <c r="CC129" s="72"/>
      <c r="CD129" s="72"/>
      <c r="CE129" s="72"/>
      <c r="CF129" s="72">
        <f t="shared" si="49"/>
        <v>114.65949480637907</v>
      </c>
      <c r="CG129" s="72"/>
      <c r="CH129" s="72"/>
      <c r="CI129" s="72"/>
      <c r="CJ129" s="72"/>
      <c r="CL129" s="74">
        <v>6.84</v>
      </c>
      <c r="CM129" s="69"/>
      <c r="CN129" s="69"/>
      <c r="CO129" s="69"/>
      <c r="CP129" s="69"/>
      <c r="CQ129" s="76"/>
      <c r="CR129" s="76"/>
      <c r="CS129" s="177"/>
      <c r="CT129" s="70"/>
      <c r="CU129" s="76"/>
      <c r="CV129" s="77"/>
      <c r="CW129" s="77"/>
      <c r="CX129" s="77"/>
      <c r="CY129" s="77"/>
      <c r="CZ129" s="77"/>
      <c r="DA129" s="66"/>
      <c r="DB129" s="66"/>
      <c r="DC129" s="66"/>
      <c r="DD129" s="66"/>
      <c r="DE129" s="66"/>
      <c r="DF129" s="66"/>
      <c r="DG129" s="66"/>
      <c r="DH129" s="66"/>
      <c r="DI129" s="168"/>
      <c r="DJ129" s="67">
        <v>6.93</v>
      </c>
      <c r="DK129" s="69">
        <v>15.541526928388246</v>
      </c>
      <c r="DL129" s="69">
        <v>4.2976163956337725</v>
      </c>
      <c r="DM129" s="69">
        <v>63.557920379511508</v>
      </c>
      <c r="DN129" s="69">
        <f t="shared" si="47"/>
        <v>11.243910532754473</v>
      </c>
      <c r="DO129" s="69"/>
      <c r="DP129" s="69"/>
      <c r="DQ129" s="69"/>
      <c r="DR129" s="69"/>
      <c r="DS129" s="70">
        <v>40.157299999999999</v>
      </c>
      <c r="DT129" s="70"/>
      <c r="DU129" s="70"/>
      <c r="DV129" s="177">
        <v>282.39319999999998</v>
      </c>
      <c r="DW129" s="177">
        <f t="shared" si="43"/>
        <v>63.792623879999994</v>
      </c>
      <c r="DX129" s="70">
        <v>9.3063000000000002</v>
      </c>
      <c r="DY129" s="70">
        <v>37.137999999999998</v>
      </c>
      <c r="DZ129" s="71"/>
      <c r="EA129" s="71"/>
      <c r="EB129" s="180"/>
      <c r="EC129" s="180"/>
      <c r="ED129" s="71"/>
      <c r="EE129" s="180"/>
      <c r="EF129" s="66"/>
      <c r="EG129" s="66"/>
      <c r="EH129" s="79">
        <f t="shared" si="48"/>
        <v>31.187287554694656</v>
      </c>
      <c r="EI129" s="66"/>
      <c r="EJ129" s="79"/>
      <c r="EK129" s="66"/>
      <c r="EL129" s="168"/>
      <c r="EM129" s="67">
        <v>6.91</v>
      </c>
      <c r="EN129" s="78">
        <f t="shared" si="32"/>
        <v>-1.0375099760574709</v>
      </c>
      <c r="EO129" s="78">
        <f t="shared" si="33"/>
        <v>-125.86826347305389</v>
      </c>
      <c r="EP129" s="78">
        <f t="shared" si="34"/>
        <v>-20.097821253890615</v>
      </c>
      <c r="EQ129" s="78">
        <f t="shared" si="35"/>
        <v>124.62915277715175</v>
      </c>
      <c r="ER129" s="79">
        <f t="shared" si="52"/>
        <v>33.160717961275985</v>
      </c>
      <c r="ES129" s="66"/>
      <c r="ET129" s="66"/>
      <c r="EU129" s="66"/>
      <c r="EV129" s="79">
        <f t="shared" si="45"/>
        <v>74.644758029399185</v>
      </c>
      <c r="EW129" s="79">
        <f t="shared" si="51"/>
        <v>72.800082882486635</v>
      </c>
      <c r="EX129" s="66"/>
      <c r="EY129" s="66"/>
      <c r="EZ129" s="66"/>
      <c r="FA129" s="66"/>
      <c r="FB129" s="79">
        <f t="shared" si="46"/>
        <v>81.819770683526073</v>
      </c>
    </row>
    <row r="130" spans="1:158" hidden="1" x14ac:dyDescent="0.3">
      <c r="A130" s="86">
        <v>44770</v>
      </c>
      <c r="B130" s="106">
        <f t="shared" si="29"/>
        <v>71</v>
      </c>
      <c r="C130" s="93">
        <v>187.91872164134941</v>
      </c>
      <c r="D130" s="93">
        <v>52.875918912898207</v>
      </c>
      <c r="E130" s="93">
        <v>14.022437335726647</v>
      </c>
      <c r="F130" s="96">
        <f t="shared" si="22"/>
        <v>135.04280272845119</v>
      </c>
      <c r="G130" s="96"/>
      <c r="H130" s="96"/>
      <c r="I130" s="96"/>
      <c r="J130" s="96"/>
      <c r="K130" s="70">
        <v>47.006300000000003</v>
      </c>
      <c r="N130" s="70">
        <v>0.1163</v>
      </c>
      <c r="O130" s="70">
        <f t="shared" si="41"/>
        <v>2.6272169999999997E-2</v>
      </c>
      <c r="P130" s="70">
        <v>4.2058</v>
      </c>
      <c r="Q130" s="70">
        <v>32.097000000000001</v>
      </c>
      <c r="X130" s="72"/>
      <c r="Y130" s="73"/>
      <c r="Z130" s="73"/>
      <c r="AA130" s="72">
        <f t="shared" si="40"/>
        <v>493.44791544381894</v>
      </c>
      <c r="AB130" s="72"/>
      <c r="AC130" s="72"/>
      <c r="AD130" s="72"/>
      <c r="AE130" s="72"/>
      <c r="AF130" s="72"/>
      <c r="AH130" s="74">
        <v>6.68</v>
      </c>
      <c r="AI130" s="97"/>
      <c r="AJ130" s="97"/>
      <c r="AK130" s="97"/>
      <c r="AL130" s="96"/>
      <c r="AW130" s="72"/>
      <c r="AX130" s="75"/>
      <c r="AY130" s="75"/>
      <c r="AZ130" s="75"/>
      <c r="BA130" s="75"/>
      <c r="BB130" s="72"/>
      <c r="BC130" s="72"/>
      <c r="BD130" s="72"/>
      <c r="BE130" s="72"/>
      <c r="BG130" s="74">
        <v>6.99</v>
      </c>
      <c r="BH130" s="93">
        <v>88.526336555533632</v>
      </c>
      <c r="BI130" s="93">
        <v>98.07975050122522</v>
      </c>
      <c r="BJ130" s="93">
        <v>12.64234886851721</v>
      </c>
      <c r="BK130" s="88">
        <f t="shared" si="24"/>
        <v>-9.5534139456915881</v>
      </c>
      <c r="BL130" s="88"/>
      <c r="BM130" s="88"/>
      <c r="BN130" s="88"/>
      <c r="BO130" s="88"/>
      <c r="BP130" s="70">
        <v>34.332000000000001</v>
      </c>
      <c r="BU130" s="70">
        <v>11.7949</v>
      </c>
      <c r="BV130" s="70">
        <v>1.3479000000000001</v>
      </c>
      <c r="CC130" s="72"/>
      <c r="CD130" s="72"/>
      <c r="CE130" s="72"/>
      <c r="CF130" s="72">
        <f t="shared" si="49"/>
        <v>119.0763564902804</v>
      </c>
      <c r="CG130" s="72"/>
      <c r="CH130" s="72"/>
      <c r="CI130" s="72"/>
      <c r="CJ130" s="72"/>
      <c r="CL130" s="74">
        <v>6.8</v>
      </c>
      <c r="CM130" s="69"/>
      <c r="CN130" s="69"/>
      <c r="CO130" s="69"/>
      <c r="CP130" s="69"/>
      <c r="CQ130" s="76"/>
      <c r="CR130" s="76"/>
      <c r="CS130" s="177"/>
      <c r="CT130" s="70"/>
      <c r="CU130" s="76"/>
      <c r="CV130" s="77"/>
      <c r="CW130" s="77"/>
      <c r="CX130" s="77"/>
      <c r="CY130" s="77"/>
      <c r="CZ130" s="77"/>
      <c r="DA130" s="66"/>
      <c r="DB130" s="66"/>
      <c r="DC130" s="66"/>
      <c r="DD130" s="66"/>
      <c r="DE130" s="66"/>
      <c r="DF130" s="66"/>
      <c r="DG130" s="66"/>
      <c r="DH130" s="66"/>
      <c r="DI130" s="168"/>
      <c r="DJ130" s="67">
        <v>6.86</v>
      </c>
      <c r="DK130" s="69">
        <v>15.71907674097455</v>
      </c>
      <c r="DL130" s="69">
        <v>3.3388282468255741</v>
      </c>
      <c r="DM130" s="69">
        <v>74.727867170972502</v>
      </c>
      <c r="DN130" s="69">
        <f t="shared" si="47"/>
        <v>12.380248494148976</v>
      </c>
      <c r="DO130" s="69"/>
      <c r="DP130" s="69"/>
      <c r="DQ130" s="69"/>
      <c r="DR130" s="69"/>
      <c r="DS130" s="70">
        <v>44.738599999999998</v>
      </c>
      <c r="DT130" s="70"/>
      <c r="DU130" s="70"/>
      <c r="DV130" s="177">
        <v>385.85849999999999</v>
      </c>
      <c r="DW130" s="177">
        <f t="shared" si="43"/>
        <v>87.165435149999993</v>
      </c>
      <c r="DX130" s="70">
        <v>11.5495</v>
      </c>
      <c r="DY130" s="70">
        <v>40.153100000000002</v>
      </c>
      <c r="DZ130" s="71"/>
      <c r="EA130" s="71"/>
      <c r="EB130" s="180"/>
      <c r="EC130" s="180"/>
      <c r="ED130" s="71"/>
      <c r="EE130" s="180"/>
      <c r="EF130" s="66"/>
      <c r="EG130" s="66"/>
      <c r="EH130" s="79">
        <f t="shared" si="48"/>
        <v>36.288649564783</v>
      </c>
      <c r="EI130" s="66"/>
      <c r="EJ130" s="79"/>
      <c r="EK130" s="66"/>
      <c r="EL130" s="168"/>
      <c r="EM130" s="67">
        <v>6.87</v>
      </c>
      <c r="EN130" s="78">
        <f t="shared" si="32"/>
        <v>52.891156462585045</v>
      </c>
      <c r="EO130" s="78">
        <f t="shared" si="33"/>
        <v>-85.490394337714832</v>
      </c>
      <c r="EP130" s="78">
        <f t="shared" si="34"/>
        <v>9.8420013166556952</v>
      </c>
      <c r="EQ130" s="78">
        <f t="shared" si="35"/>
        <v>107.0743599456403</v>
      </c>
      <c r="ER130" s="79">
        <f t="shared" si="52"/>
        <v>75.868505517308691</v>
      </c>
      <c r="ES130" s="66"/>
      <c r="ET130" s="66"/>
      <c r="EU130" s="66"/>
      <c r="EV130" s="79">
        <f t="shared" si="45"/>
        <v>90.832352229060589</v>
      </c>
      <c r="EW130" s="79">
        <f t="shared" si="51"/>
        <v>69.524890889867748</v>
      </c>
      <c r="EX130" s="66"/>
      <c r="EY130" s="66"/>
      <c r="EZ130" s="66"/>
      <c r="FA130" s="66"/>
      <c r="FB130" s="79">
        <f t="shared" si="46"/>
        <v>92.645900726494276</v>
      </c>
    </row>
    <row r="131" spans="1:158" hidden="1" x14ac:dyDescent="0.3">
      <c r="A131" s="86">
        <v>44771</v>
      </c>
      <c r="B131" s="106">
        <f t="shared" si="29"/>
        <v>72</v>
      </c>
      <c r="C131" s="96">
        <v>143.95738804497933</v>
      </c>
      <c r="D131" s="93">
        <v>46.861216306527076</v>
      </c>
      <c r="E131" s="93">
        <v>13.357779344829797</v>
      </c>
      <c r="F131" s="96">
        <f t="shared" si="22"/>
        <v>97.096171738452256</v>
      </c>
      <c r="G131" s="96"/>
      <c r="H131" s="96"/>
      <c r="I131" s="96"/>
      <c r="J131" s="96"/>
      <c r="K131" s="70">
        <v>45.027299999999997</v>
      </c>
      <c r="N131" s="70">
        <v>0.214</v>
      </c>
      <c r="O131" s="70">
        <f t="shared" si="41"/>
        <v>4.8342599999999999E-2</v>
      </c>
      <c r="P131" s="70">
        <v>7.3670999999999998</v>
      </c>
      <c r="Q131" s="70">
        <v>36.965499999999999</v>
      </c>
      <c r="X131" s="72"/>
      <c r="Y131" s="73"/>
      <c r="Z131" s="73"/>
      <c r="AA131" s="72">
        <f t="shared" si="40"/>
        <v>358.76773273411476</v>
      </c>
      <c r="AB131" s="72"/>
      <c r="AC131" s="72"/>
      <c r="AD131" s="72"/>
      <c r="AE131" s="72"/>
      <c r="AF131" s="72"/>
      <c r="AH131" s="74">
        <v>7.05</v>
      </c>
      <c r="AI131" s="97"/>
      <c r="AJ131" s="97"/>
      <c r="AK131" s="97"/>
      <c r="AL131" s="96"/>
      <c r="AW131" s="72"/>
      <c r="AX131" s="75"/>
      <c r="AY131" s="75"/>
      <c r="AZ131" s="75"/>
      <c r="BA131" s="75"/>
      <c r="BB131" s="72"/>
      <c r="BC131" s="72"/>
      <c r="BD131" s="72"/>
      <c r="BE131" s="72"/>
      <c r="BG131" s="74">
        <v>6.84</v>
      </c>
      <c r="BH131" s="93">
        <v>93.533241270467556</v>
      </c>
      <c r="BI131" s="93">
        <v>96.876809979951005</v>
      </c>
      <c r="BJ131" s="93">
        <v>14.823257901147507</v>
      </c>
      <c r="BK131" s="88">
        <f t="shared" si="24"/>
        <v>-3.3435687094834492</v>
      </c>
      <c r="BL131" s="88"/>
      <c r="BM131" s="88"/>
      <c r="BN131" s="88"/>
      <c r="BO131" s="88"/>
      <c r="BP131" s="70">
        <v>37.54</v>
      </c>
      <c r="BU131" s="70">
        <v>11.993</v>
      </c>
      <c r="BV131" s="70">
        <v>1.2204999999999999</v>
      </c>
      <c r="CC131" s="72"/>
      <c r="CD131" s="72"/>
      <c r="CE131" s="72"/>
      <c r="CF131" s="72">
        <f t="shared" si="49"/>
        <v>139.11863199014218</v>
      </c>
      <c r="CG131" s="72"/>
      <c r="CH131" s="72"/>
      <c r="CI131" s="72"/>
      <c r="CJ131" s="72"/>
      <c r="CL131" s="74">
        <v>6.83</v>
      </c>
      <c r="CM131" s="69"/>
      <c r="CN131" s="69"/>
      <c r="CO131" s="69"/>
      <c r="CP131" s="69"/>
      <c r="CQ131" s="76"/>
      <c r="CR131" s="76"/>
      <c r="CS131" s="177"/>
      <c r="CT131" s="70"/>
      <c r="CU131" s="76"/>
      <c r="CV131" s="77"/>
      <c r="CW131" s="77"/>
      <c r="CX131" s="77"/>
      <c r="CY131" s="77"/>
      <c r="CZ131" s="77"/>
      <c r="DA131" s="66"/>
      <c r="DB131" s="66"/>
      <c r="DC131" s="66"/>
      <c r="DD131" s="66"/>
      <c r="DE131" s="66"/>
      <c r="DF131" s="66"/>
      <c r="DG131" s="66"/>
      <c r="DH131" s="66"/>
      <c r="DI131" s="168"/>
      <c r="DJ131" s="67">
        <v>6.73</v>
      </c>
      <c r="DK131" s="69">
        <v>16.713355691457885</v>
      </c>
      <c r="DL131" s="69">
        <v>3.4680329694809537</v>
      </c>
      <c r="DM131" s="69">
        <v>80.335918969164695</v>
      </c>
      <c r="DN131" s="69">
        <f t="shared" si="47"/>
        <v>13.245322721976931</v>
      </c>
      <c r="DO131" s="69"/>
      <c r="DP131" s="69"/>
      <c r="DQ131" s="69"/>
      <c r="DR131" s="69"/>
      <c r="DS131" s="70">
        <v>35.2896</v>
      </c>
      <c r="DT131" s="70"/>
      <c r="DU131" s="70"/>
      <c r="DV131" s="177">
        <v>312.00659999999999</v>
      </c>
      <c r="DW131" s="177">
        <f t="shared" si="43"/>
        <v>70.482290939999999</v>
      </c>
      <c r="DX131" s="70">
        <v>5.7778</v>
      </c>
      <c r="DY131" s="70">
        <v>30.918700000000001</v>
      </c>
      <c r="DZ131" s="71"/>
      <c r="EA131" s="71"/>
      <c r="EB131" s="180"/>
      <c r="EC131" s="180"/>
      <c r="ED131" s="71"/>
      <c r="EE131" s="180"/>
      <c r="EF131" s="66"/>
      <c r="EG131" s="66"/>
      <c r="EH131" s="79">
        <f t="shared" si="48"/>
        <v>40.172227295771037</v>
      </c>
      <c r="EI131" s="66"/>
      <c r="EJ131" s="79"/>
      <c r="EK131" s="66"/>
      <c r="EL131" s="168"/>
      <c r="EM131" s="67">
        <v>6.73</v>
      </c>
      <c r="EN131" s="78">
        <f t="shared" si="32"/>
        <v>35.02713369511595</v>
      </c>
      <c r="EO131" s="78">
        <f t="shared" si="33"/>
        <v>-106.73131774101539</v>
      </c>
      <c r="EP131" s="78">
        <f t="shared" si="34"/>
        <v>-10.970974429854847</v>
      </c>
      <c r="EQ131" s="78">
        <f t="shared" si="35"/>
        <v>103.44356389095341</v>
      </c>
      <c r="ER131" s="79">
        <f t="shared" si="52"/>
        <v>61.223203957072705</v>
      </c>
      <c r="ES131" s="66"/>
      <c r="ET131" s="66"/>
      <c r="EU131" s="66"/>
      <c r="EV131" s="79">
        <f t="shared" si="45"/>
        <v>86.358553087287689</v>
      </c>
      <c r="EW131" s="79">
        <f t="shared" si="51"/>
        <v>71.123761985657239</v>
      </c>
      <c r="EX131" s="66"/>
      <c r="EY131" s="66"/>
      <c r="EZ131" s="66"/>
      <c r="FA131" s="66"/>
      <c r="FB131" s="79">
        <f t="shared" si="46"/>
        <v>88.802720080308077</v>
      </c>
    </row>
    <row r="132" spans="1:158" hidden="1" x14ac:dyDescent="0.3">
      <c r="A132" s="86">
        <v>44775</v>
      </c>
      <c r="B132" s="106">
        <f t="shared" si="29"/>
        <v>76</v>
      </c>
      <c r="C132" s="96">
        <v>126.68538495640607</v>
      </c>
      <c r="D132" s="93">
        <v>48.533846647417398</v>
      </c>
      <c r="E132" s="93">
        <v>13.56460728902748</v>
      </c>
      <c r="F132" s="96">
        <f t="shared" si="22"/>
        <v>78.151538308988677</v>
      </c>
      <c r="G132" s="96"/>
      <c r="H132" s="96"/>
      <c r="I132" s="96"/>
      <c r="J132" s="96"/>
      <c r="K132" s="70">
        <v>61.882199999999997</v>
      </c>
      <c r="N132" s="70">
        <v>0.24610000000000001</v>
      </c>
      <c r="O132" s="70">
        <f t="shared" si="41"/>
        <v>5.5593990000000003E-2</v>
      </c>
      <c r="P132" s="70">
        <v>9.0622000000000007</v>
      </c>
      <c r="Q132" s="70">
        <v>46.222000000000001</v>
      </c>
      <c r="X132" s="72"/>
      <c r="Y132" s="73"/>
      <c r="Z132" s="73"/>
      <c r="AA132" s="72">
        <f t="shared" si="40"/>
        <v>291.52943976626261</v>
      </c>
      <c r="AB132" s="72"/>
      <c r="AC132" s="72"/>
      <c r="AD132" s="72"/>
      <c r="AE132" s="72"/>
      <c r="AF132" s="72"/>
      <c r="AH132" s="74">
        <v>6.88</v>
      </c>
      <c r="AI132" s="97"/>
      <c r="AJ132" s="97"/>
      <c r="AK132" s="97"/>
      <c r="AL132" s="96"/>
      <c r="AW132" s="72"/>
      <c r="AX132" s="75"/>
      <c r="AY132" s="75"/>
      <c r="AZ132" s="75"/>
      <c r="BA132" s="75"/>
      <c r="BB132" s="72"/>
      <c r="BC132" s="72"/>
      <c r="BD132" s="72"/>
      <c r="BE132" s="72"/>
      <c r="BG132" s="74">
        <v>6.94</v>
      </c>
      <c r="BH132" s="93">
        <v>91.857543963351546</v>
      </c>
      <c r="BI132" s="93">
        <v>96.400384985563065</v>
      </c>
      <c r="BJ132" s="93">
        <v>14.270902358214775</v>
      </c>
      <c r="BK132" s="88">
        <f t="shared" si="24"/>
        <v>-4.542841022211519</v>
      </c>
      <c r="BL132" s="88"/>
      <c r="BM132" s="88"/>
      <c r="BN132" s="88"/>
      <c r="BO132" s="88"/>
      <c r="BP132" s="70">
        <v>37.702399999999997</v>
      </c>
      <c r="BU132" s="70">
        <v>2.2012999999999998</v>
      </c>
      <c r="BV132" s="70">
        <v>3.117</v>
      </c>
      <c r="CC132" s="72"/>
      <c r="CD132" s="72"/>
      <c r="CE132" s="72"/>
      <c r="CF132" s="72">
        <f t="shared" si="49"/>
        <v>135.24798060081233</v>
      </c>
      <c r="CG132" s="72"/>
      <c r="CH132" s="72"/>
      <c r="CI132" s="72"/>
      <c r="CJ132" s="72"/>
      <c r="CL132" s="74">
        <v>6.89</v>
      </c>
      <c r="CM132" s="69"/>
      <c r="CN132" s="69"/>
      <c r="CO132" s="69"/>
      <c r="CP132" s="69"/>
      <c r="CQ132" s="76"/>
      <c r="CR132" s="76"/>
      <c r="CS132" s="177"/>
      <c r="CT132" s="70"/>
      <c r="CU132" s="76"/>
      <c r="CV132" s="77"/>
      <c r="CW132" s="77"/>
      <c r="CX132" s="77"/>
      <c r="CY132" s="77"/>
      <c r="CZ132" s="77"/>
      <c r="DA132" s="66"/>
      <c r="DB132" s="66"/>
      <c r="DC132" s="66"/>
      <c r="DD132" s="66"/>
      <c r="DE132" s="66"/>
      <c r="DF132" s="66"/>
      <c r="DG132" s="66"/>
      <c r="DH132" s="66"/>
      <c r="DI132" s="168"/>
      <c r="DJ132" s="67">
        <v>6.48</v>
      </c>
      <c r="DK132" s="69">
        <v>12.365893305748486</v>
      </c>
      <c r="DL132" s="69">
        <v>1.6118062239332693</v>
      </c>
      <c r="DM132" s="69">
        <v>81.90216332099007</v>
      </c>
      <c r="DN132" s="69">
        <f t="shared" si="47"/>
        <v>10.754087081815216</v>
      </c>
      <c r="DO132" s="69"/>
      <c r="DP132" s="69"/>
      <c r="DQ132" s="69"/>
      <c r="DR132" s="69"/>
      <c r="DS132" s="70">
        <v>40.346699999999998</v>
      </c>
      <c r="DT132" s="70"/>
      <c r="DU132" s="70"/>
      <c r="DV132" s="177">
        <v>355.86169999999998</v>
      </c>
      <c r="DW132" s="177">
        <f t="shared" si="43"/>
        <v>80.38915802999999</v>
      </c>
      <c r="DX132" s="70">
        <v>15.078200000000001</v>
      </c>
      <c r="DY132" s="70">
        <v>21.0961</v>
      </c>
      <c r="DZ132" s="71"/>
      <c r="EA132" s="71"/>
      <c r="EB132" s="180"/>
      <c r="EC132" s="180"/>
      <c r="ED132" s="71"/>
      <c r="EE132" s="180"/>
      <c r="EF132" s="66"/>
      <c r="EG132" s="66"/>
      <c r="EH132" s="79">
        <f t="shared" si="48"/>
        <v>28.988323136393049</v>
      </c>
      <c r="EI132" s="66"/>
      <c r="EJ132" s="79"/>
      <c r="EK132" s="66"/>
      <c r="EL132" s="168"/>
      <c r="EM132" s="67">
        <v>6.5</v>
      </c>
      <c r="EN132" s="78">
        <f t="shared" si="32"/>
        <v>27.491601343784993</v>
      </c>
      <c r="EO132" s="78">
        <f t="shared" si="33"/>
        <v>-98.625066102591234</v>
      </c>
      <c r="EP132" s="78">
        <f t="shared" si="34"/>
        <v>-5.2068965517241521</v>
      </c>
      <c r="EQ132" s="78">
        <f t="shared" si="35"/>
        <v>105.81286193529607</v>
      </c>
      <c r="ER132" s="79">
        <f t="shared" si="52"/>
        <v>53.607436453330713</v>
      </c>
      <c r="ES132" s="66"/>
      <c r="ET132" s="66"/>
      <c r="EU132" s="66"/>
      <c r="EV132" s="79">
        <f t="shared" si="45"/>
        <v>86.239442863815867</v>
      </c>
      <c r="EW132" s="79">
        <f t="shared" si="51"/>
        <v>78.566539028813466</v>
      </c>
      <c r="EX132" s="66"/>
      <c r="EY132" s="66"/>
      <c r="EZ132" s="66"/>
      <c r="FA132" s="66"/>
      <c r="FB132" s="79">
        <f t="shared" si="46"/>
        <v>90.05646799869173</v>
      </c>
    </row>
    <row r="133" spans="1:158" hidden="1" x14ac:dyDescent="0.3">
      <c r="A133" s="86">
        <v>44776</v>
      </c>
      <c r="B133" s="106">
        <f t="shared" si="29"/>
        <v>77</v>
      </c>
      <c r="C133" s="96">
        <v>107.3917541007832</v>
      </c>
      <c r="D133" s="93">
        <v>51.382739813923656</v>
      </c>
      <c r="E133" s="93">
        <v>16.574546871954784</v>
      </c>
      <c r="F133" s="96">
        <f t="shared" si="22"/>
        <v>56.009014286859546</v>
      </c>
      <c r="G133" s="96"/>
      <c r="H133" s="96"/>
      <c r="I133" s="96"/>
      <c r="J133" s="96"/>
      <c r="K133" s="70">
        <v>42.111400000000003</v>
      </c>
      <c r="N133" s="70">
        <v>0.43680000000000002</v>
      </c>
      <c r="O133" s="70">
        <f t="shared" si="41"/>
        <v>9.8673120000000003E-2</v>
      </c>
      <c r="P133" s="70">
        <v>5.3998999999999997</v>
      </c>
      <c r="Q133" s="70">
        <v>26.312799999999999</v>
      </c>
      <c r="X133" s="72"/>
      <c r="Y133" s="73"/>
      <c r="Z133" s="73"/>
      <c r="AA133" s="72">
        <f t="shared" si="40"/>
        <v>212.94119350692191</v>
      </c>
      <c r="AB133" s="72"/>
      <c r="AC133" s="72"/>
      <c r="AD133" s="72"/>
      <c r="AE133" s="72"/>
      <c r="AF133" s="72"/>
      <c r="AH133" s="74">
        <v>7.26</v>
      </c>
      <c r="AI133" s="97"/>
      <c r="AJ133" s="97"/>
      <c r="AK133" s="97"/>
      <c r="AL133" s="96"/>
      <c r="AW133" s="72"/>
      <c r="AX133" s="75"/>
      <c r="AY133" s="75"/>
      <c r="AZ133" s="75"/>
      <c r="BA133" s="75"/>
      <c r="BB133" s="72"/>
      <c r="BC133" s="72"/>
      <c r="BD133" s="72"/>
      <c r="BE133" s="72"/>
      <c r="BG133" s="74">
        <v>6.87</v>
      </c>
      <c r="BH133" s="93">
        <v>91.502881631446726</v>
      </c>
      <c r="BI133" s="93">
        <v>95.91273660571062</v>
      </c>
      <c r="BJ133" s="93">
        <v>15.879945429740793</v>
      </c>
      <c r="BK133" s="88">
        <f t="shared" si="24"/>
        <v>-4.4098549742638937</v>
      </c>
      <c r="BL133" s="88"/>
      <c r="BM133" s="88"/>
      <c r="BN133" s="88"/>
      <c r="BO133" s="88"/>
      <c r="BP133" s="70">
        <v>58.3446</v>
      </c>
      <c r="BS133" s="70">
        <v>0.218</v>
      </c>
      <c r="BT133" s="70">
        <f t="shared" si="27"/>
        <v>4.9246199999999997E-2</v>
      </c>
      <c r="BU133" s="70">
        <v>19.5685</v>
      </c>
      <c r="BV133" s="70">
        <v>1.8266</v>
      </c>
      <c r="CC133" s="72"/>
      <c r="CD133" s="72"/>
      <c r="CE133" s="72"/>
      <c r="CF133" s="72">
        <f t="shared" si="49"/>
        <v>135.67719307056328</v>
      </c>
      <c r="CG133" s="72"/>
      <c r="CH133" s="72"/>
      <c r="CI133" s="72"/>
      <c r="CJ133" s="72"/>
      <c r="CL133" s="74">
        <v>6.83</v>
      </c>
      <c r="CM133" s="69"/>
      <c r="CN133" s="69"/>
      <c r="CO133" s="69"/>
      <c r="CP133" s="69"/>
      <c r="CQ133" s="76"/>
      <c r="CR133" s="76"/>
      <c r="CS133" s="177"/>
      <c r="CT133" s="70"/>
      <c r="CU133" s="76"/>
      <c r="CV133" s="77"/>
      <c r="CW133" s="77"/>
      <c r="CX133" s="77"/>
      <c r="CY133" s="77"/>
      <c r="CZ133" s="77"/>
      <c r="DA133" s="66"/>
      <c r="DB133" s="66"/>
      <c r="DC133" s="66"/>
      <c r="DD133" s="66"/>
      <c r="DE133" s="66"/>
      <c r="DF133" s="66"/>
      <c r="DG133" s="66"/>
      <c r="DH133" s="66"/>
      <c r="DI133" s="168"/>
      <c r="DJ133" s="67">
        <v>6.4</v>
      </c>
      <c r="DK133" s="69">
        <v>11.82089552238806</v>
      </c>
      <c r="DL133" s="69">
        <v>1.31665062560154</v>
      </c>
      <c r="DM133" s="69">
        <v>86.18203079321772</v>
      </c>
      <c r="DN133" s="69">
        <f t="shared" si="47"/>
        <v>10.504244896786521</v>
      </c>
      <c r="DO133" s="69"/>
      <c r="DP133" s="69"/>
      <c r="DQ133" s="69"/>
      <c r="DR133" s="69"/>
      <c r="DS133" s="70">
        <v>50.14</v>
      </c>
      <c r="DT133" s="70"/>
      <c r="DU133" s="70"/>
      <c r="DV133" s="177">
        <v>439.1053</v>
      </c>
      <c r="DW133" s="177">
        <f t="shared" si="43"/>
        <v>99.193887269999991</v>
      </c>
      <c r="DX133" s="70">
        <v>20.145499999999998</v>
      </c>
      <c r="DY133" s="70">
        <v>31.089099999999998</v>
      </c>
      <c r="DZ133" s="71"/>
      <c r="EA133" s="71"/>
      <c r="EB133" s="180"/>
      <c r="EC133" s="180"/>
      <c r="ED133" s="71"/>
      <c r="EE133" s="180"/>
      <c r="EF133" s="66"/>
      <c r="EG133" s="66"/>
      <c r="EH133" s="79">
        <f t="shared" si="48"/>
        <v>27.866706615143727</v>
      </c>
      <c r="EI133" s="66"/>
      <c r="EJ133" s="79"/>
      <c r="EK133" s="66"/>
      <c r="EL133" s="168"/>
      <c r="EM133" s="67">
        <v>6.23</v>
      </c>
      <c r="EN133" s="78">
        <f t="shared" si="32"/>
        <v>14.795244385733151</v>
      </c>
      <c r="EO133" s="78">
        <f t="shared" si="33"/>
        <v>-86.663336663336622</v>
      </c>
      <c r="EP133" s="78">
        <f t="shared" si="34"/>
        <v>4.1907718357555908</v>
      </c>
      <c r="EQ133" s="78">
        <f t="shared" si="35"/>
        <v>107.87347363707936</v>
      </c>
      <c r="ER133" s="79">
        <f t="shared" si="52"/>
        <v>36.284196197034589</v>
      </c>
      <c r="ES133" s="66"/>
      <c r="ET133" s="66"/>
      <c r="EU133" s="66"/>
      <c r="EV133" s="79">
        <f t="shared" si="45"/>
        <v>81.245438737794458</v>
      </c>
      <c r="EW133" s="79">
        <f t="shared" si="51"/>
        <v>79.461023636706017</v>
      </c>
      <c r="EX133" s="66"/>
      <c r="EY133" s="66"/>
      <c r="EZ133" s="66"/>
      <c r="FA133" s="66"/>
      <c r="FB133" s="79">
        <f t="shared" si="46"/>
        <v>86.913426117226166</v>
      </c>
    </row>
    <row r="134" spans="1:158" hidden="1" x14ac:dyDescent="0.3">
      <c r="A134" s="86">
        <v>44778</v>
      </c>
      <c r="B134" s="106">
        <f t="shared" si="29"/>
        <v>79</v>
      </c>
      <c r="C134" s="96">
        <v>138.5311068420275</v>
      </c>
      <c r="D134" s="93">
        <v>43.914019890920756</v>
      </c>
      <c r="E134" s="93">
        <v>15.550185149093744</v>
      </c>
      <c r="F134" s="96">
        <f t="shared" si="22"/>
        <v>94.617086951106742</v>
      </c>
      <c r="G134" s="96"/>
      <c r="H134" s="96"/>
      <c r="I134" s="96"/>
      <c r="J134" s="96"/>
      <c r="K134" s="70">
        <v>38.114699999999999</v>
      </c>
      <c r="N134" s="70">
        <v>0.72060000000000002</v>
      </c>
      <c r="O134" s="70">
        <f t="shared" si="41"/>
        <v>0.16278354</v>
      </c>
      <c r="P134" s="70">
        <v>6.2343000000000002</v>
      </c>
      <c r="Q134" s="70">
        <v>24.623699999999999</v>
      </c>
      <c r="X134" s="72"/>
      <c r="Y134" s="73"/>
      <c r="Z134" s="73"/>
      <c r="AA134" s="72">
        <f t="shared" si="40"/>
        <v>349.96896500686802</v>
      </c>
      <c r="AB134" s="72"/>
      <c r="AC134" s="72"/>
      <c r="AD134" s="72"/>
      <c r="AE134" s="72"/>
      <c r="AF134" s="72"/>
      <c r="AH134" s="74">
        <v>6.91</v>
      </c>
      <c r="AI134" s="97"/>
      <c r="AJ134" s="97"/>
      <c r="AK134" s="97"/>
      <c r="AL134" s="96"/>
      <c r="AW134" s="72"/>
      <c r="AX134" s="75"/>
      <c r="AY134" s="75"/>
      <c r="AZ134" s="75"/>
      <c r="BA134" s="75"/>
      <c r="BB134" s="72"/>
      <c r="BC134" s="72"/>
      <c r="BD134" s="72"/>
      <c r="BE134" s="72"/>
      <c r="BG134" s="74">
        <v>7.13</v>
      </c>
      <c r="BH134" s="93">
        <v>124.3091473326437</v>
      </c>
      <c r="BI134" s="93">
        <v>100.32723772858519</v>
      </c>
      <c r="BJ134" s="93">
        <v>16.749951276554281</v>
      </c>
      <c r="BK134" s="88">
        <f t="shared" si="24"/>
        <v>23.981909604058515</v>
      </c>
      <c r="BL134" s="88"/>
      <c r="BM134" s="88"/>
      <c r="BN134" s="88"/>
      <c r="BO134" s="88"/>
      <c r="BP134" s="70">
        <v>38.902999999999999</v>
      </c>
      <c r="BU134" s="70">
        <v>17.240500000000001</v>
      </c>
      <c r="BV134" s="70">
        <v>1.0455000000000001</v>
      </c>
      <c r="CC134" s="72"/>
      <c r="CD134" s="72"/>
      <c r="CE134" s="72"/>
      <c r="CF134" s="72">
        <f t="shared" si="49"/>
        <v>227.31161324709888</v>
      </c>
      <c r="CG134" s="72"/>
      <c r="CH134" s="72"/>
      <c r="CI134" s="72"/>
      <c r="CJ134" s="72"/>
      <c r="CL134" s="74">
        <v>6.89</v>
      </c>
      <c r="CM134" s="69"/>
      <c r="CN134" s="69"/>
      <c r="CO134" s="69"/>
      <c r="CP134" s="69"/>
      <c r="CQ134" s="76"/>
      <c r="CR134" s="76"/>
      <c r="CS134" s="177"/>
      <c r="CT134" s="70"/>
      <c r="CU134" s="76"/>
      <c r="CV134" s="77"/>
      <c r="CW134" s="77"/>
      <c r="CX134" s="77"/>
      <c r="CY134" s="77"/>
      <c r="CZ134" s="77"/>
      <c r="DA134" s="66"/>
      <c r="DB134" s="66"/>
      <c r="DC134" s="66"/>
      <c r="DD134" s="66"/>
      <c r="DE134" s="66"/>
      <c r="DF134" s="66"/>
      <c r="DG134" s="66"/>
      <c r="DH134" s="66"/>
      <c r="DI134" s="168"/>
      <c r="DJ134" s="67">
        <v>6.42</v>
      </c>
      <c r="DK134" s="69">
        <v>13.146150435939115</v>
      </c>
      <c r="DL134" s="69">
        <v>1.0437386375788686</v>
      </c>
      <c r="DM134" s="69">
        <v>82.159423114402671</v>
      </c>
      <c r="DN134" s="69">
        <f t="shared" si="47"/>
        <v>12.102411798360245</v>
      </c>
      <c r="DO134" s="69"/>
      <c r="DP134" s="69"/>
      <c r="DQ134" s="69"/>
      <c r="DR134" s="69"/>
      <c r="DS134" s="70">
        <v>50.578400000000002</v>
      </c>
      <c r="DT134" s="70"/>
      <c r="DU134" s="70"/>
      <c r="DV134" s="177">
        <v>395.01089999999999</v>
      </c>
      <c r="DW134" s="177">
        <f t="shared" si="43"/>
        <v>89.232962309999991</v>
      </c>
      <c r="DX134" s="70">
        <v>19.518699999999999</v>
      </c>
      <c r="DY134" s="70">
        <v>30.2881</v>
      </c>
      <c r="DZ134" s="71"/>
      <c r="EA134" s="71"/>
      <c r="EB134" s="180"/>
      <c r="EC134" s="180"/>
      <c r="ED134" s="71"/>
      <c r="EE134" s="180"/>
      <c r="EF134" s="66"/>
      <c r="EG134" s="66"/>
      <c r="EH134" s="79">
        <f t="shared" si="48"/>
        <v>35.041357286378648</v>
      </c>
      <c r="EI134" s="66"/>
      <c r="EJ134" s="79"/>
      <c r="EK134" s="66"/>
      <c r="EL134" s="168"/>
      <c r="EM134" s="67">
        <v>6.02</v>
      </c>
      <c r="EN134" s="78">
        <f t="shared" si="32"/>
        <v>10.266257040450602</v>
      </c>
      <c r="EO134" s="78">
        <f t="shared" si="33"/>
        <v>-128.46288720046758</v>
      </c>
      <c r="EP134" s="78">
        <f t="shared" si="34"/>
        <v>-7.7154459317190724</v>
      </c>
      <c r="EQ134" s="78">
        <f t="shared" si="35"/>
        <v>74.6537223065733</v>
      </c>
      <c r="ER134" s="79">
        <f t="shared" si="52"/>
        <v>35.048065406988883</v>
      </c>
      <c r="ES134" s="66"/>
      <c r="ET134" s="66"/>
      <c r="EU134" s="66"/>
      <c r="EV134" s="79">
        <f t="shared" si="45"/>
        <v>87.209063195304083</v>
      </c>
      <c r="EW134" s="79">
        <f t="shared" si="51"/>
        <v>84.584440369842881</v>
      </c>
      <c r="EX134" s="66"/>
      <c r="EY134" s="66"/>
      <c r="EZ134" s="66"/>
      <c r="FA134" s="66"/>
      <c r="FB134" s="79">
        <f t="shared" si="46"/>
        <v>89.987295791873734</v>
      </c>
    </row>
    <row r="135" spans="1:158" ht="17.399999999999999" hidden="1" x14ac:dyDescent="0.35">
      <c r="A135" s="7">
        <v>44781</v>
      </c>
      <c r="B135" s="106">
        <f t="shared" si="29"/>
        <v>82</v>
      </c>
      <c r="C135" s="96">
        <v>287.20121028744325</v>
      </c>
      <c r="D135" s="93">
        <v>25.777091149856542</v>
      </c>
      <c r="E135" s="93">
        <v>17.734443716665108</v>
      </c>
      <c r="F135" s="96">
        <f t="shared" si="22"/>
        <v>261.42411913758673</v>
      </c>
      <c r="G135" s="96"/>
      <c r="H135" s="96"/>
      <c r="I135" s="96"/>
      <c r="J135" s="96"/>
      <c r="K135" s="70">
        <v>42.922699999999999</v>
      </c>
      <c r="N135" s="70">
        <v>0.3236</v>
      </c>
      <c r="O135" s="70">
        <f t="shared" si="41"/>
        <v>7.3101239999999998E-2</v>
      </c>
      <c r="P135" s="70">
        <v>2.3159999999999998</v>
      </c>
      <c r="Q135" s="70">
        <v>24.232900000000001</v>
      </c>
      <c r="X135" s="72"/>
      <c r="Y135" s="73"/>
      <c r="Z135" s="73"/>
      <c r="AA135" s="72">
        <f t="shared" si="40"/>
        <v>942.00048364312283</v>
      </c>
      <c r="AB135" s="72"/>
      <c r="AC135" s="72"/>
      <c r="AD135" s="72"/>
      <c r="AE135" s="72"/>
      <c r="AF135" s="72"/>
      <c r="AH135" s="74">
        <v>5.74</v>
      </c>
      <c r="AI135" s="97"/>
      <c r="AJ135" s="97"/>
      <c r="AK135" s="97"/>
      <c r="AL135" s="96"/>
      <c r="AW135" s="72"/>
      <c r="AX135" s="75"/>
      <c r="AY135" s="75"/>
      <c r="AZ135" s="75"/>
      <c r="BA135" s="75"/>
      <c r="BB135" s="72"/>
      <c r="BC135" s="72"/>
      <c r="BD135" s="72"/>
      <c r="BE135" s="72"/>
      <c r="BG135" s="74">
        <v>6.95</v>
      </c>
      <c r="BH135" s="93">
        <v>146.6464952092789</v>
      </c>
      <c r="BI135" s="93">
        <v>118.54336790995364</v>
      </c>
      <c r="BJ135" s="93">
        <v>20.903153363900067</v>
      </c>
      <c r="BK135" s="88">
        <f t="shared" si="24"/>
        <v>28.103127299325251</v>
      </c>
      <c r="BL135" s="88"/>
      <c r="BM135" s="88"/>
      <c r="BN135" s="88"/>
      <c r="BO135" s="88"/>
      <c r="BP135" s="70">
        <v>41.974699999999999</v>
      </c>
      <c r="BS135" s="70">
        <v>0.25600000000000001</v>
      </c>
      <c r="BT135" s="70">
        <f t="shared" si="27"/>
        <v>5.7830399999999997E-2</v>
      </c>
      <c r="CC135" s="72"/>
      <c r="CD135" s="72"/>
      <c r="CE135" s="72"/>
      <c r="CF135" s="72">
        <f t="shared" si="49"/>
        <v>240.61284335857226</v>
      </c>
      <c r="CG135" s="72"/>
      <c r="CH135" s="72"/>
      <c r="CI135" s="72"/>
      <c r="CJ135" s="72"/>
      <c r="CL135" s="74">
        <v>6.82</v>
      </c>
      <c r="CM135" s="69"/>
      <c r="CN135" s="69"/>
      <c r="CO135" s="69"/>
      <c r="CP135" s="69"/>
      <c r="CQ135" s="76"/>
      <c r="CR135" s="76"/>
      <c r="CS135" s="177"/>
      <c r="CT135" s="70"/>
      <c r="CU135" s="76"/>
      <c r="CV135" s="77"/>
      <c r="CW135" s="77"/>
      <c r="CX135" s="77"/>
      <c r="CY135" s="77"/>
      <c r="CZ135" s="77"/>
      <c r="DA135" s="66"/>
      <c r="DB135" s="66"/>
      <c r="DC135" s="66"/>
      <c r="DD135" s="66"/>
      <c r="DE135" s="66"/>
      <c r="DF135" s="66"/>
      <c r="DG135" s="66"/>
      <c r="DH135" s="66"/>
      <c r="DI135" s="168"/>
      <c r="DJ135" s="67">
        <v>7.19</v>
      </c>
      <c r="DK135" s="69">
        <v>31.010253824172132</v>
      </c>
      <c r="DL135" s="69">
        <v>16.005296843963801</v>
      </c>
      <c r="DM135" s="69">
        <v>100.63067278001311</v>
      </c>
      <c r="DN135" s="69">
        <f t="shared" si="47"/>
        <v>15.00495698020833</v>
      </c>
      <c r="DO135" s="69"/>
      <c r="DP135" s="69"/>
      <c r="DQ135" s="69"/>
      <c r="DR135" s="69"/>
      <c r="DS135" s="70">
        <v>61.566600000000001</v>
      </c>
      <c r="DT135" s="70"/>
      <c r="DU135" s="70"/>
      <c r="DV135" s="177">
        <v>489.51819999999998</v>
      </c>
      <c r="DW135" s="177">
        <f t="shared" si="43"/>
        <v>110.58216137999999</v>
      </c>
      <c r="DX135" s="70">
        <v>20.310600000000001</v>
      </c>
      <c r="DY135" s="70">
        <v>47.514200000000002</v>
      </c>
      <c r="DZ135" s="71"/>
      <c r="EA135" s="71"/>
      <c r="EB135" s="180"/>
      <c r="EC135" s="180"/>
      <c r="ED135" s="71"/>
      <c r="EE135" s="180"/>
      <c r="EF135" s="66"/>
      <c r="EG135" s="66"/>
      <c r="EH135" s="79">
        <f t="shared" si="48"/>
        <v>48.071753371249265</v>
      </c>
      <c r="EI135" s="66"/>
      <c r="EJ135" s="79"/>
      <c r="EK135" s="66"/>
      <c r="EL135" s="168"/>
      <c r="EM135" s="67">
        <v>7.04</v>
      </c>
      <c r="EN135" s="78"/>
      <c r="EO135" s="78"/>
      <c r="EP135" s="78"/>
      <c r="EQ135" s="78"/>
      <c r="ER135" s="79">
        <f t="shared" si="52"/>
        <v>74.457248426453191</v>
      </c>
      <c r="ES135" s="66"/>
      <c r="ET135" s="66"/>
      <c r="EU135" s="66"/>
      <c r="EV135" s="79">
        <f t="shared" si="45"/>
        <v>94.260301218683168</v>
      </c>
      <c r="EW135" s="79">
        <f t="shared" si="51"/>
        <v>80.021119113907588</v>
      </c>
      <c r="EX135" s="66"/>
      <c r="EY135" s="66"/>
      <c r="EZ135" s="66"/>
      <c r="FA135" s="66"/>
      <c r="FB135" s="79">
        <f t="shared" si="46"/>
        <v>94.896844088090575</v>
      </c>
    </row>
    <row r="136" spans="1:158" hidden="1" x14ac:dyDescent="0.3">
      <c r="A136" s="86">
        <v>44783</v>
      </c>
      <c r="B136" s="106">
        <f t="shared" si="29"/>
        <v>84</v>
      </c>
      <c r="C136" s="96">
        <v>171.65910237014626</v>
      </c>
      <c r="D136" s="93">
        <v>53.762966232619725</v>
      </c>
      <c r="E136" s="93">
        <v>18.953869186862541</v>
      </c>
      <c r="F136" s="96">
        <f t="shared" si="22"/>
        <v>117.89613613752653</v>
      </c>
      <c r="G136" s="96"/>
      <c r="H136" s="96"/>
      <c r="I136" s="96"/>
      <c r="J136" s="96"/>
      <c r="K136" s="70">
        <v>32.656599999999997</v>
      </c>
      <c r="N136" s="70">
        <v>0.37440000000000001</v>
      </c>
      <c r="O136" s="70">
        <f t="shared" si="41"/>
        <v>8.4576959999999993E-2</v>
      </c>
      <c r="P136" s="70">
        <v>6.0720000000000001</v>
      </c>
      <c r="Q136" s="70">
        <v>16.553799999999999</v>
      </c>
      <c r="X136" s="72"/>
      <c r="Y136" s="73"/>
      <c r="Z136" s="73"/>
      <c r="AA136" s="72">
        <f t="shared" si="40"/>
        <v>432.59096637930912</v>
      </c>
      <c r="AB136" s="72"/>
      <c r="AC136" s="72"/>
      <c r="AD136" s="72"/>
      <c r="AE136" s="72"/>
      <c r="AF136" s="72"/>
      <c r="AH136" s="74">
        <v>6.82</v>
      </c>
      <c r="AI136" s="97"/>
      <c r="AJ136" s="97"/>
      <c r="AK136" s="97"/>
      <c r="AL136" s="96"/>
      <c r="AW136" s="72"/>
      <c r="AX136" s="75"/>
      <c r="AY136" s="75"/>
      <c r="AZ136" s="75"/>
      <c r="BA136" s="75"/>
      <c r="BB136" s="72"/>
      <c r="BC136" s="72"/>
      <c r="BD136" s="72"/>
      <c r="BE136" s="72"/>
      <c r="BG136" s="74">
        <v>7.01</v>
      </c>
      <c r="BH136" s="93">
        <v>112.27433182047403</v>
      </c>
      <c r="BI136" s="93">
        <v>126.83292871330833</v>
      </c>
      <c r="BJ136" s="93">
        <v>19.908299803499578</v>
      </c>
      <c r="BK136" s="88">
        <f t="shared" si="24"/>
        <v>-14.558596892834302</v>
      </c>
      <c r="BL136" s="88"/>
      <c r="BM136" s="88"/>
      <c r="BN136" s="88"/>
      <c r="BO136" s="88"/>
      <c r="BP136" s="70">
        <v>40.237699999999997</v>
      </c>
      <c r="BS136" s="70">
        <v>7.46E-2</v>
      </c>
      <c r="BT136" s="70">
        <f t="shared" si="27"/>
        <v>1.6852139999999998E-2</v>
      </c>
      <c r="BU136" s="70">
        <v>17.814599999999999</v>
      </c>
      <c r="BV136" s="70">
        <v>0.77300000000000002</v>
      </c>
      <c r="CC136" s="72"/>
      <c r="CD136" s="72"/>
      <c r="CE136" s="72"/>
      <c r="CF136" s="72">
        <f t="shared" si="49"/>
        <v>102.92212852837729</v>
      </c>
      <c r="CG136" s="72"/>
      <c r="CH136" s="72"/>
      <c r="CI136" s="72"/>
      <c r="CJ136" s="72"/>
      <c r="CL136" s="74">
        <v>6.89</v>
      </c>
      <c r="CM136" s="69"/>
      <c r="CN136" s="69"/>
      <c r="CO136" s="69"/>
      <c r="CP136" s="69"/>
      <c r="CQ136" s="76"/>
      <c r="CR136" s="76"/>
      <c r="CS136" s="177"/>
      <c r="CT136" s="70"/>
      <c r="CU136" s="76"/>
      <c r="CV136" s="77"/>
      <c r="CW136" s="77"/>
      <c r="CX136" s="77"/>
      <c r="CY136" s="77"/>
      <c r="CZ136" s="77"/>
      <c r="DA136" s="66"/>
      <c r="DB136" s="66"/>
      <c r="DC136" s="66"/>
      <c r="DD136" s="66"/>
      <c r="DE136" s="66"/>
      <c r="DF136" s="66"/>
      <c r="DG136" s="66"/>
      <c r="DH136" s="66"/>
      <c r="DI136" s="168"/>
      <c r="DJ136" s="67">
        <v>6.77</v>
      </c>
      <c r="DK136" s="69">
        <v>24.770549672213821</v>
      </c>
      <c r="DL136" s="69">
        <v>5.8106378282939737</v>
      </c>
      <c r="DM136" s="69">
        <v>94.095630204921861</v>
      </c>
      <c r="DN136" s="69">
        <f t="shared" si="47"/>
        <v>18.959911843919848</v>
      </c>
      <c r="DO136" s="69"/>
      <c r="DP136" s="69"/>
      <c r="DQ136" s="69"/>
      <c r="DR136" s="69"/>
      <c r="DS136" s="70">
        <v>70.600099999999998</v>
      </c>
      <c r="DT136" s="70"/>
      <c r="DU136" s="70"/>
      <c r="DV136" s="177">
        <v>640.38589999999999</v>
      </c>
      <c r="DW136" s="177">
        <f t="shared" si="43"/>
        <v>144.66317480999999</v>
      </c>
      <c r="DX136" s="70">
        <v>24.783100000000001</v>
      </c>
      <c r="DY136" s="70">
        <v>71.427099999999996</v>
      </c>
      <c r="DZ136" s="71"/>
      <c r="EA136" s="71"/>
      <c r="EB136" s="180"/>
      <c r="EC136" s="180"/>
      <c r="ED136" s="71"/>
      <c r="EE136" s="180"/>
      <c r="EF136" s="66"/>
      <c r="EG136" s="66"/>
      <c r="EH136" s="79">
        <f t="shared" si="48"/>
        <v>65.826732240909365</v>
      </c>
      <c r="EI136" s="66"/>
      <c r="EJ136" s="79"/>
      <c r="EK136" s="66"/>
      <c r="EL136" s="168"/>
      <c r="EM136" s="67">
        <v>6.71</v>
      </c>
      <c r="EN136" s="78"/>
      <c r="EO136" s="78"/>
      <c r="EP136" s="78"/>
      <c r="EQ136" s="78"/>
      <c r="ER136" s="79">
        <f t="shared" si="52"/>
        <v>76.207980164307926</v>
      </c>
      <c r="ES136" s="66"/>
      <c r="ET136" s="66"/>
      <c r="EU136" s="66"/>
      <c r="EV136" s="79">
        <f t="shared" si="45"/>
        <v>83.918122794284784</v>
      </c>
      <c r="EW136" s="79">
        <f t="shared" si="51"/>
        <v>36.042196967623077</v>
      </c>
      <c r="EX136" s="66"/>
      <c r="EY136" s="66"/>
      <c r="EZ136" s="66"/>
      <c r="FA136" s="66"/>
      <c r="FB136" s="79">
        <f t="shared" si="46"/>
        <v>84.783146816064004</v>
      </c>
    </row>
    <row r="137" spans="1:158" hidden="1" x14ac:dyDescent="0.3">
      <c r="A137" s="86">
        <v>44785</v>
      </c>
      <c r="B137" s="106">
        <f t="shared" si="29"/>
        <v>86</v>
      </c>
      <c r="C137" s="96">
        <v>155.53867193435647</v>
      </c>
      <c r="D137" s="93">
        <v>54.128660063132685</v>
      </c>
      <c r="E137" s="93">
        <v>19.461654135338343</v>
      </c>
      <c r="F137" s="96">
        <f t="shared" si="22"/>
        <v>101.41001187122379</v>
      </c>
      <c r="G137" s="96"/>
      <c r="H137" s="96"/>
      <c r="I137" s="96"/>
      <c r="J137" s="96"/>
      <c r="K137" s="70">
        <v>52.5261</v>
      </c>
      <c r="P137" s="70">
        <v>11.0359</v>
      </c>
      <c r="Q137" s="70">
        <v>30.3886</v>
      </c>
      <c r="X137" s="72"/>
      <c r="Y137" s="73">
        <v>286</v>
      </c>
      <c r="Z137" s="73"/>
      <c r="AA137" s="72">
        <f t="shared" si="40"/>
        <v>374.07841413334745</v>
      </c>
      <c r="AB137" s="72"/>
      <c r="AC137" s="72"/>
      <c r="AD137" s="72"/>
      <c r="AE137" s="72"/>
      <c r="AF137" s="72"/>
      <c r="AH137" s="74">
        <v>6.86</v>
      </c>
      <c r="AI137" s="97"/>
      <c r="AJ137" s="97"/>
      <c r="AK137" s="97"/>
      <c r="AL137" s="96"/>
      <c r="AW137" s="72"/>
      <c r="AX137" s="75"/>
      <c r="AY137" s="75"/>
      <c r="AZ137" s="75"/>
      <c r="BA137" s="75"/>
      <c r="BB137" s="72"/>
      <c r="BC137" s="72"/>
      <c r="BD137" s="72"/>
      <c r="BE137" s="72"/>
      <c r="BG137" s="74">
        <v>6.81</v>
      </c>
      <c r="BH137" s="93">
        <v>124.79562376538519</v>
      </c>
      <c r="BI137" s="93">
        <v>119.64732774572764</v>
      </c>
      <c r="BJ137" s="93">
        <v>22.466165413533833</v>
      </c>
      <c r="BK137" s="88">
        <f t="shared" si="24"/>
        <v>5.1482960196575505</v>
      </c>
      <c r="BL137" s="88"/>
      <c r="BM137" s="88"/>
      <c r="BN137" s="88"/>
      <c r="BO137" s="88"/>
      <c r="BP137" s="70">
        <v>64.316400000000002</v>
      </c>
      <c r="BU137" s="70">
        <v>28.8338</v>
      </c>
      <c r="BV137" s="70">
        <v>2.1671999999999998</v>
      </c>
      <c r="CC137" s="72"/>
      <c r="CD137" s="72">
        <f>(28.1+29.8)</f>
        <v>57.900000000000006</v>
      </c>
      <c r="CE137" s="72"/>
      <c r="CF137" s="72">
        <f t="shared" si="49"/>
        <v>166.52612540344475</v>
      </c>
      <c r="CG137" s="72"/>
      <c r="CH137" s="72"/>
      <c r="CI137" s="72"/>
      <c r="CJ137" s="72"/>
      <c r="CL137" s="74">
        <v>6.79</v>
      </c>
      <c r="CM137" s="69"/>
      <c r="CN137" s="69"/>
      <c r="CO137" s="69"/>
      <c r="CP137" s="69"/>
      <c r="CQ137" s="76"/>
      <c r="CR137" s="76"/>
      <c r="CS137" s="177"/>
      <c r="CT137" s="70"/>
      <c r="CU137" s="76"/>
      <c r="CV137" s="77"/>
      <c r="CW137" s="77"/>
      <c r="CX137" s="77"/>
      <c r="CY137" s="77"/>
      <c r="CZ137" s="77"/>
      <c r="DA137" s="66"/>
      <c r="DB137" s="66"/>
      <c r="DC137" s="66"/>
      <c r="DD137" s="66"/>
      <c r="DE137" s="66"/>
      <c r="DF137" s="66"/>
      <c r="DG137" s="66"/>
      <c r="DH137" s="66"/>
      <c r="DI137" s="168"/>
      <c r="DJ137" s="67">
        <v>7.18</v>
      </c>
      <c r="DK137" s="69">
        <v>27.813402218507825</v>
      </c>
      <c r="DL137" s="69">
        <v>14.559703929465549</v>
      </c>
      <c r="DM137" s="69">
        <v>66.609022556390983</v>
      </c>
      <c r="DN137" s="69">
        <f t="shared" si="47"/>
        <v>13.253698289042276</v>
      </c>
      <c r="DO137" s="69"/>
      <c r="DP137" s="69"/>
      <c r="DQ137" s="69"/>
      <c r="DR137" s="69"/>
      <c r="DS137" s="70">
        <v>71.601299999999995</v>
      </c>
      <c r="DT137" s="70"/>
      <c r="DU137" s="70"/>
      <c r="DV137" s="177">
        <v>422.2441</v>
      </c>
      <c r="DW137" s="177">
        <f t="shared" si="43"/>
        <v>95.38494218999999</v>
      </c>
      <c r="DX137" s="70">
        <v>11.1241</v>
      </c>
      <c r="DY137" s="70">
        <v>107.6476</v>
      </c>
      <c r="DZ137" s="71"/>
      <c r="EA137" s="71"/>
      <c r="EB137" s="180"/>
      <c r="EC137" s="180"/>
      <c r="ED137" s="71"/>
      <c r="EE137" s="180"/>
      <c r="EF137" s="66"/>
      <c r="EG137" s="66">
        <v>39.6</v>
      </c>
      <c r="EH137" s="79">
        <f t="shared" si="48"/>
        <v>40.209827728997496</v>
      </c>
      <c r="EI137" s="66"/>
      <c r="EJ137" s="79"/>
      <c r="EK137" s="66"/>
      <c r="EL137" s="168"/>
      <c r="EM137" s="67">
        <v>7.19</v>
      </c>
      <c r="EN137" s="78"/>
      <c r="EO137" s="78"/>
      <c r="EP137" s="78"/>
      <c r="EQ137" s="78"/>
      <c r="ER137" s="79">
        <f t="shared" si="52"/>
        <v>55.483631476238216</v>
      </c>
      <c r="ES137" s="66"/>
      <c r="ET137" s="66"/>
      <c r="EU137" s="66"/>
      <c r="EV137" s="79">
        <f t="shared" si="45"/>
        <v>86.930582055475369</v>
      </c>
      <c r="EW137" s="79">
        <f t="shared" si="51"/>
        <v>75.853742089068206</v>
      </c>
      <c r="EX137" s="66"/>
      <c r="EY137" s="66"/>
      <c r="EZ137" s="66"/>
      <c r="FA137" s="66"/>
      <c r="FB137" s="79">
        <f t="shared" si="46"/>
        <v>89.250962843671616</v>
      </c>
    </row>
    <row r="138" spans="1:158" hidden="1" x14ac:dyDescent="0.3">
      <c r="A138" s="86">
        <v>44788</v>
      </c>
      <c r="B138" s="106">
        <f t="shared" si="29"/>
        <v>89</v>
      </c>
      <c r="C138" s="96">
        <v>303.82008813250263</v>
      </c>
      <c r="D138" s="93">
        <v>57.759878088603458</v>
      </c>
      <c r="E138" s="93">
        <v>21.633834586466165</v>
      </c>
      <c r="F138" s="96">
        <f t="shared" si="22"/>
        <v>246.06021004389919</v>
      </c>
      <c r="G138" s="96"/>
      <c r="H138" s="96"/>
      <c r="I138" s="96"/>
      <c r="J138" s="96"/>
      <c r="K138" s="70">
        <v>70.075400000000002</v>
      </c>
      <c r="N138" s="70">
        <v>0.20780000000000001</v>
      </c>
      <c r="O138" s="70">
        <f t="shared" si="41"/>
        <v>4.6942020000000001E-2</v>
      </c>
      <c r="P138" s="70">
        <v>12.2835</v>
      </c>
      <c r="Q138" s="70">
        <v>32.6509</v>
      </c>
      <c r="X138" s="72"/>
      <c r="Y138" s="73">
        <v>549</v>
      </c>
      <c r="Z138" s="73"/>
      <c r="AA138" s="72">
        <f t="shared" si="40"/>
        <v>887.47089748780695</v>
      </c>
      <c r="AB138" s="72"/>
      <c r="AC138" s="72"/>
      <c r="AD138" s="72"/>
      <c r="AE138" s="72"/>
      <c r="AF138" s="72"/>
      <c r="AH138" s="74">
        <v>6.97</v>
      </c>
      <c r="AI138" s="97"/>
      <c r="AJ138" s="97"/>
      <c r="AK138" s="97"/>
      <c r="AL138" s="96"/>
      <c r="AW138" s="72"/>
      <c r="AX138" s="75"/>
      <c r="AY138" s="75"/>
      <c r="AZ138" s="75"/>
      <c r="BA138" s="75"/>
      <c r="BB138" s="72"/>
      <c r="BC138" s="72"/>
      <c r="BD138" s="72"/>
      <c r="BE138" s="72"/>
      <c r="BG138" s="74">
        <v>6.91</v>
      </c>
      <c r="BH138" s="93">
        <v>128.47895456617533</v>
      </c>
      <c r="BI138" s="93">
        <v>136.81071078698159</v>
      </c>
      <c r="BJ138" s="93">
        <v>23.729323308270676</v>
      </c>
      <c r="BK138" s="88">
        <f t="shared" si="24"/>
        <v>-8.3317562208062554</v>
      </c>
      <c r="BL138" s="88"/>
      <c r="BM138" s="88"/>
      <c r="BN138" s="88"/>
      <c r="BO138" s="88"/>
      <c r="BP138" s="70">
        <v>62.112200000000001</v>
      </c>
      <c r="BU138" s="70">
        <v>31.099499999999999</v>
      </c>
      <c r="BV138" s="70">
        <v>0.55840000000000001</v>
      </c>
      <c r="CC138" s="72"/>
      <c r="CD138" s="72">
        <f>31.9+31.7</f>
        <v>63.599999999999994</v>
      </c>
      <c r="CE138" s="72"/>
      <c r="CF138" s="72">
        <f t="shared" si="49"/>
        <v>123.01925679734781</v>
      </c>
      <c r="CG138" s="72"/>
      <c r="CH138" s="72"/>
      <c r="CI138" s="72"/>
      <c r="CJ138" s="72"/>
      <c r="CL138" s="74">
        <v>6.9</v>
      </c>
      <c r="CM138" s="69"/>
      <c r="CN138" s="69"/>
      <c r="CO138" s="69"/>
      <c r="CP138" s="69"/>
      <c r="CQ138" s="76"/>
      <c r="CR138" s="76"/>
      <c r="CS138" s="177"/>
      <c r="CT138" s="70"/>
      <c r="CU138" s="76"/>
      <c r="CV138" s="77"/>
      <c r="CW138" s="77"/>
      <c r="CX138" s="77"/>
      <c r="CY138" s="77"/>
      <c r="CZ138" s="77"/>
      <c r="DA138" s="66"/>
      <c r="DB138" s="66"/>
      <c r="DC138" s="66"/>
      <c r="DD138" s="66"/>
      <c r="DE138" s="66"/>
      <c r="DF138" s="66"/>
      <c r="DG138" s="66"/>
      <c r="DH138" s="66"/>
      <c r="DI138" s="168"/>
      <c r="DJ138" s="67"/>
      <c r="DK138" s="69"/>
      <c r="DL138" s="69"/>
      <c r="DM138" s="69"/>
      <c r="DN138" s="69"/>
      <c r="DO138" s="69"/>
      <c r="DP138" s="69"/>
      <c r="DQ138" s="69"/>
      <c r="DR138" s="69"/>
      <c r="DS138" s="70"/>
      <c r="DT138" s="70"/>
      <c r="DU138" s="70"/>
      <c r="DV138" s="177"/>
      <c r="DW138" s="177"/>
      <c r="DX138" s="70"/>
      <c r="DY138" s="70"/>
      <c r="DZ138" s="71"/>
      <c r="EA138" s="71"/>
      <c r="EB138" s="180"/>
      <c r="EC138" s="180"/>
      <c r="ED138" s="71"/>
      <c r="EE138" s="180"/>
      <c r="EF138" s="66"/>
      <c r="EG138" s="66">
        <v>55.3</v>
      </c>
      <c r="EH138" s="79"/>
      <c r="EI138" s="66"/>
      <c r="EJ138" s="79"/>
      <c r="EK138" s="66"/>
      <c r="EL138" s="168"/>
      <c r="EM138" s="67"/>
      <c r="EN138" s="78"/>
      <c r="EO138" s="78"/>
      <c r="EP138" s="78"/>
      <c r="EQ138" s="78"/>
      <c r="ER138" s="79">
        <f t="shared" si="52"/>
        <v>86.138220741031347</v>
      </c>
      <c r="ES138" s="66"/>
      <c r="ET138" s="66"/>
      <c r="EU138" s="66"/>
      <c r="EV138" s="79"/>
      <c r="EW138" s="79"/>
      <c r="EX138" s="66"/>
      <c r="EY138" s="66"/>
      <c r="EZ138" s="66"/>
      <c r="FA138" s="66"/>
      <c r="FB138" s="79"/>
    </row>
    <row r="139" spans="1:158" hidden="1" x14ac:dyDescent="0.3">
      <c r="A139" s="86">
        <v>44790</v>
      </c>
      <c r="B139" s="106">
        <f t="shared" si="29"/>
        <v>91</v>
      </c>
      <c r="C139" s="96">
        <v>180.19146026439751</v>
      </c>
      <c r="D139" s="93">
        <v>52.064874278872317</v>
      </c>
      <c r="E139" s="93">
        <v>21.218796992481202</v>
      </c>
      <c r="F139" s="96">
        <f t="shared" si="22"/>
        <v>128.1265859855252</v>
      </c>
      <c r="G139" s="96"/>
      <c r="H139" s="96"/>
      <c r="I139" s="96"/>
      <c r="J139" s="96"/>
      <c r="K139" s="70">
        <v>57.602800000000002</v>
      </c>
      <c r="P139" s="70">
        <v>10.3042</v>
      </c>
      <c r="Q139" s="70">
        <v>33.216500000000003</v>
      </c>
      <c r="X139" s="72"/>
      <c r="Y139" s="73">
        <v>334</v>
      </c>
      <c r="Z139" s="73"/>
      <c r="AA139" s="72">
        <f t="shared" si="40"/>
        <v>468.90087897982602</v>
      </c>
      <c r="AB139" s="72"/>
      <c r="AC139" s="72"/>
      <c r="AD139" s="72"/>
      <c r="AE139" s="72"/>
      <c r="AF139" s="72"/>
      <c r="AH139" s="74">
        <v>6.89</v>
      </c>
      <c r="AI139" s="97"/>
      <c r="AJ139" s="97"/>
      <c r="AK139" s="97"/>
      <c r="AL139" s="96"/>
      <c r="AW139" s="72"/>
      <c r="AX139" s="75"/>
      <c r="AY139" s="75"/>
      <c r="AZ139" s="75"/>
      <c r="BA139" s="75"/>
      <c r="BB139" s="72"/>
      <c r="BC139" s="72"/>
      <c r="BD139" s="72"/>
      <c r="BE139" s="72"/>
      <c r="BF139" s="168">
        <v>414.31</v>
      </c>
      <c r="BG139" s="74">
        <v>6.86</v>
      </c>
      <c r="BH139" s="93">
        <v>120.16410879805503</v>
      </c>
      <c r="BI139" s="93">
        <v>117.11331228910417</v>
      </c>
      <c r="BJ139" s="93">
        <v>21.045112781954888</v>
      </c>
      <c r="BK139" s="88">
        <f t="shared" si="24"/>
        <v>3.0507965089508531</v>
      </c>
      <c r="BL139" s="88"/>
      <c r="BM139" s="88"/>
      <c r="BN139" s="88"/>
      <c r="BO139" s="88"/>
      <c r="BP139" s="70">
        <v>60.205500000000001</v>
      </c>
      <c r="BU139" s="70">
        <v>28.307600000000001</v>
      </c>
      <c r="BV139" s="70">
        <v>1.8569</v>
      </c>
      <c r="CC139" s="72"/>
      <c r="CD139" s="72">
        <f>35.6+36</f>
        <v>71.599999999999994</v>
      </c>
      <c r="CE139" s="72"/>
      <c r="CF139" s="72">
        <f t="shared" si="49"/>
        <v>159.75644573263887</v>
      </c>
      <c r="CG139" s="72"/>
      <c r="CH139" s="72"/>
      <c r="CI139" s="72"/>
      <c r="CJ139" s="72"/>
      <c r="CL139" s="74">
        <v>6.78</v>
      </c>
      <c r="CM139" s="69"/>
      <c r="CN139" s="69"/>
      <c r="CO139" s="69"/>
      <c r="CP139" s="69"/>
      <c r="CQ139" s="76"/>
      <c r="CR139" s="76"/>
      <c r="CS139" s="177"/>
      <c r="CT139" s="70"/>
      <c r="CU139" s="76"/>
      <c r="CV139" s="77"/>
      <c r="CW139" s="77"/>
      <c r="CX139" s="77"/>
      <c r="CY139" s="77"/>
      <c r="CZ139" s="77"/>
      <c r="DA139" s="66"/>
      <c r="DB139" s="66"/>
      <c r="DC139" s="66"/>
      <c r="DD139" s="66"/>
      <c r="DE139" s="66"/>
      <c r="DF139" s="66"/>
      <c r="DG139" s="66"/>
      <c r="DH139" s="66"/>
      <c r="DI139" s="168">
        <v>66.14</v>
      </c>
      <c r="DJ139" s="67">
        <v>7.08</v>
      </c>
      <c r="DK139" s="69">
        <v>24.44613280656435</v>
      </c>
      <c r="DL139" s="69">
        <v>5.7498639381735046</v>
      </c>
      <c r="DM139" s="69">
        <v>62.706766917293237</v>
      </c>
      <c r="DN139" s="69">
        <f t="shared" si="47"/>
        <v>18.696268868390845</v>
      </c>
      <c r="DO139" s="69"/>
      <c r="DP139" s="69"/>
      <c r="DQ139" s="69"/>
      <c r="DR139" s="69"/>
      <c r="DS139" s="70">
        <v>64.855900000000005</v>
      </c>
      <c r="DT139" s="70"/>
      <c r="DU139" s="70"/>
      <c r="DV139" s="177">
        <v>284.41899999999998</v>
      </c>
      <c r="DW139" s="177">
        <f t="shared" si="43"/>
        <v>64.250252099999997</v>
      </c>
      <c r="DX139" s="70">
        <v>4.6364999999999998</v>
      </c>
      <c r="DY139" s="70">
        <v>78.876099999999994</v>
      </c>
      <c r="DZ139" s="71"/>
      <c r="EA139" s="71"/>
      <c r="EB139" s="180"/>
      <c r="EC139" s="180"/>
      <c r="ED139" s="71"/>
      <c r="EE139" s="180"/>
      <c r="EF139" s="66"/>
      <c r="EG139" s="66">
        <v>68.3</v>
      </c>
      <c r="EH139" s="79">
        <f t="shared" si="48"/>
        <v>64.643159830867035</v>
      </c>
      <c r="EI139" s="66"/>
      <c r="EJ139" s="79"/>
      <c r="EK139" s="66"/>
      <c r="EL139" s="168"/>
      <c r="EM139" s="67">
        <v>6.82</v>
      </c>
      <c r="EN139" s="78"/>
      <c r="EO139" s="78"/>
      <c r="EP139" s="78"/>
      <c r="EQ139" s="78"/>
      <c r="ER139" s="79">
        <f t="shared" si="52"/>
        <v>65.929591328509289</v>
      </c>
      <c r="ES139" s="66"/>
      <c r="ET139" s="66"/>
      <c r="EU139" s="66"/>
      <c r="EV139" s="79">
        <f t="shared" ref="EV139:EV150" si="53">(F139-DN139)/F139*100</f>
        <v>85.407970777818889</v>
      </c>
      <c r="EW139" s="79">
        <f>(CF139-EH139)/CF139*100</f>
        <v>59.536430887395376</v>
      </c>
      <c r="EX139" s="66"/>
      <c r="EY139" s="66"/>
      <c r="EZ139" s="66"/>
      <c r="FA139" s="66"/>
      <c r="FB139" s="79">
        <f t="shared" ref="FB139:FB150" si="54">(AA139-EH139)/AA139*100</f>
        <v>86.213896640264508</v>
      </c>
    </row>
    <row r="140" spans="1:158" hidden="1" x14ac:dyDescent="0.3">
      <c r="A140" s="86">
        <v>44795</v>
      </c>
      <c r="B140" s="106">
        <f t="shared" si="29"/>
        <v>96</v>
      </c>
      <c r="C140" s="96">
        <v>152.77900084674008</v>
      </c>
      <c r="D140" s="93">
        <v>54.24427972929422</v>
      </c>
      <c r="E140" s="93">
        <v>31.690294438386044</v>
      </c>
      <c r="F140" s="96">
        <f t="shared" si="22"/>
        <v>98.534721117445855</v>
      </c>
      <c r="G140" s="96"/>
      <c r="H140" s="96"/>
      <c r="I140" s="96"/>
      <c r="J140" s="96"/>
      <c r="K140" s="70">
        <v>58.250300000000003</v>
      </c>
      <c r="P140" s="70">
        <v>0.76539999999999997</v>
      </c>
      <c r="Q140" s="70">
        <v>37.921999999999997</v>
      </c>
      <c r="R140" s="71">
        <v>65.841200000000001</v>
      </c>
      <c r="S140" s="71">
        <f t="shared" si="26"/>
        <v>51.124501110369138</v>
      </c>
      <c r="T140" s="71">
        <v>46.442100000000003</v>
      </c>
      <c r="U140" s="71">
        <v>22.949200000000001</v>
      </c>
      <c r="V140" s="71">
        <v>3.5630999999999999</v>
      </c>
      <c r="W140" s="71">
        <v>23.912199999999999</v>
      </c>
      <c r="X140" s="72"/>
      <c r="Y140" s="73">
        <v>383</v>
      </c>
      <c r="Z140" s="73"/>
      <c r="AA140" s="72">
        <f t="shared" si="40"/>
        <v>363.87343219003884</v>
      </c>
      <c r="AB140" s="72"/>
      <c r="AC140" s="72"/>
      <c r="AD140" s="72"/>
      <c r="AE140" s="72"/>
      <c r="AF140" s="72"/>
      <c r="AH140" s="74">
        <v>7.04</v>
      </c>
      <c r="AI140" s="97"/>
      <c r="AJ140" s="97"/>
      <c r="AK140" s="97"/>
      <c r="AL140" s="96"/>
      <c r="AW140" s="72"/>
      <c r="AX140" s="75"/>
      <c r="AY140" s="75"/>
      <c r="AZ140" s="75"/>
      <c r="BA140" s="75"/>
      <c r="BB140" s="72"/>
      <c r="BC140" s="72"/>
      <c r="BD140" s="72"/>
      <c r="BE140" s="72"/>
      <c r="BG140" s="74">
        <v>6.76</v>
      </c>
      <c r="BH140" s="93">
        <v>113.63928873835732</v>
      </c>
      <c r="BI140" s="93">
        <v>96.809539155655813</v>
      </c>
      <c r="BJ140" s="93">
        <v>29.792802617230105</v>
      </c>
      <c r="BK140" s="88">
        <f t="shared" si="24"/>
        <v>16.82974958270151</v>
      </c>
      <c r="BL140" s="88"/>
      <c r="BM140" s="88"/>
      <c r="BN140" s="88"/>
      <c r="BO140" s="88"/>
      <c r="BP140" s="70">
        <v>61.728499999999997</v>
      </c>
      <c r="BU140" s="70">
        <v>21.461099999999998</v>
      </c>
      <c r="BV140" s="70">
        <v>9.3218999999999994</v>
      </c>
      <c r="BW140" s="71">
        <v>92.497699999999995</v>
      </c>
      <c r="BX140" s="71">
        <f t="shared" si="28"/>
        <v>71.82279129719069</v>
      </c>
      <c r="BY140" s="71">
        <v>48.348500000000001</v>
      </c>
      <c r="BZ140" s="71">
        <v>22.5855</v>
      </c>
      <c r="CA140" s="71">
        <v>3.4001999999999999</v>
      </c>
      <c r="CB140" s="71">
        <v>37.527900000000002</v>
      </c>
      <c r="CC140" s="72"/>
      <c r="CD140" s="72">
        <f>23.9+37.3</f>
        <v>61.199999999999996</v>
      </c>
      <c r="CE140" s="72"/>
      <c r="CF140" s="72">
        <f t="shared" si="49"/>
        <v>204.22801677816912</v>
      </c>
      <c r="CG140" s="72"/>
      <c r="CH140" s="72"/>
      <c r="CI140" s="72"/>
      <c r="CJ140" s="72"/>
      <c r="CL140" s="74">
        <v>6.81</v>
      </c>
      <c r="CM140" s="69"/>
      <c r="CN140" s="69"/>
      <c r="CO140" s="69"/>
      <c r="CP140" s="69"/>
      <c r="CQ140" s="76"/>
      <c r="CR140" s="76"/>
      <c r="CS140" s="177"/>
      <c r="CT140" s="70"/>
      <c r="CU140" s="76"/>
      <c r="CV140" s="77"/>
      <c r="CW140" s="77"/>
      <c r="CX140" s="77"/>
      <c r="CY140" s="77"/>
      <c r="CZ140" s="77"/>
      <c r="DA140" s="66"/>
      <c r="DB140" s="66"/>
      <c r="DC140" s="66"/>
      <c r="DD140" s="66"/>
      <c r="DE140" s="66"/>
      <c r="DF140" s="66"/>
      <c r="DG140" s="66"/>
      <c r="DH140" s="66"/>
      <c r="DI140" s="168"/>
      <c r="DJ140" s="67">
        <v>6.61</v>
      </c>
      <c r="DK140" s="69">
        <v>10.736663844199832</v>
      </c>
      <c r="DL140" s="69">
        <v>2.4956493715758943</v>
      </c>
      <c r="DM140" s="69">
        <v>75.223555070883322</v>
      </c>
      <c r="DN140" s="69">
        <f t="shared" si="47"/>
        <v>8.241014472623938</v>
      </c>
      <c r="DO140" s="69"/>
      <c r="DP140" s="69"/>
      <c r="DQ140" s="69"/>
      <c r="DR140" s="69"/>
      <c r="DS140" s="70">
        <v>61.909199999999998</v>
      </c>
      <c r="DT140" s="70"/>
      <c r="DU140" s="70"/>
      <c r="DV140" s="177">
        <v>424.6703</v>
      </c>
      <c r="DW140" s="177">
        <f t="shared" si="43"/>
        <v>95.933020769999999</v>
      </c>
      <c r="DX140" s="70">
        <v>6.8761000000000001</v>
      </c>
      <c r="DY140" s="70">
        <v>47.061300000000003</v>
      </c>
      <c r="DZ140" s="71">
        <v>0.2379</v>
      </c>
      <c r="EA140" s="71">
        <f t="shared" si="44"/>
        <v>0.18472504775363782</v>
      </c>
      <c r="EB140" s="180">
        <v>54.414499999999997</v>
      </c>
      <c r="EC140" s="180">
        <v>25.628299999999999</v>
      </c>
      <c r="ED140" s="71">
        <v>4.468</v>
      </c>
      <c r="EE140" s="180">
        <v>100.87439999999999</v>
      </c>
      <c r="EF140" s="66"/>
      <c r="EG140" s="66">
        <v>25.6</v>
      </c>
      <c r="EH140" s="79">
        <f xml:space="preserve"> 4.4893*DN140 - 19.29</f>
        <v>17.706386271950649</v>
      </c>
      <c r="EI140" s="66"/>
      <c r="EJ140" s="79"/>
      <c r="EK140" s="66"/>
      <c r="EL140" s="168"/>
      <c r="EM140" s="67">
        <v>6.58</v>
      </c>
      <c r="EN140" s="78"/>
      <c r="EO140" s="78"/>
      <c r="EP140" s="78"/>
      <c r="EQ140" s="78"/>
      <c r="ER140" s="79">
        <f t="shared" si="52"/>
        <v>43.873886161738866</v>
      </c>
      <c r="ES140" s="66"/>
      <c r="ET140" s="66"/>
      <c r="EU140" s="66"/>
      <c r="EV140" s="79">
        <f t="shared" si="53"/>
        <v>91.636435990110257</v>
      </c>
      <c r="EW140" s="79">
        <f>(CF140-EH140)/CF140*100</f>
        <v>91.330089499334861</v>
      </c>
      <c r="EX140" s="66"/>
      <c r="EY140" s="66"/>
      <c r="EZ140" s="66"/>
      <c r="FA140" s="66"/>
      <c r="FB140" s="79">
        <f t="shared" si="54"/>
        <v>95.133916162721334</v>
      </c>
    </row>
    <row r="141" spans="1:158" hidden="1" x14ac:dyDescent="0.3">
      <c r="A141" s="86">
        <v>44797</v>
      </c>
      <c r="B141" s="106">
        <f t="shared" si="29"/>
        <v>98</v>
      </c>
      <c r="C141" s="96">
        <v>148.87722269263338</v>
      </c>
      <c r="D141" s="93">
        <v>61.79825974863035</v>
      </c>
      <c r="E141" s="93">
        <v>27.284623773173394</v>
      </c>
      <c r="F141" s="96">
        <f t="shared" si="22"/>
        <v>87.078962944003024</v>
      </c>
      <c r="G141" s="96"/>
      <c r="H141" s="96"/>
      <c r="I141" s="96"/>
      <c r="J141" s="96"/>
      <c r="K141" s="70">
        <v>76.521000000000001</v>
      </c>
      <c r="N141" s="70">
        <v>0.157</v>
      </c>
      <c r="O141" s="70">
        <f t="shared" si="41"/>
        <v>3.5466299999999999E-2</v>
      </c>
      <c r="P141" s="70">
        <v>4.0091000000000001</v>
      </c>
      <c r="Q141" s="70">
        <v>75.22</v>
      </c>
      <c r="R141" s="71">
        <v>91.121700000000004</v>
      </c>
      <c r="S141" s="71">
        <f t="shared" si="26"/>
        <v>70.754352181137705</v>
      </c>
      <c r="T141" s="71">
        <v>50.346200000000003</v>
      </c>
      <c r="U141" s="71">
        <v>20.076699999999999</v>
      </c>
      <c r="V141" s="71">
        <v>3.9495</v>
      </c>
      <c r="W141" s="71">
        <v>27.885000000000002</v>
      </c>
      <c r="X141" s="72"/>
      <c r="Y141" s="117">
        <v>358</v>
      </c>
      <c r="Z141" s="117"/>
      <c r="AA141" s="72">
        <f t="shared" si="40"/>
        <v>323.21465528085554</v>
      </c>
      <c r="AB141" s="72"/>
      <c r="AC141" s="72"/>
      <c r="AD141" s="72"/>
      <c r="AE141" s="72"/>
      <c r="AF141" s="72"/>
      <c r="AH141" s="74">
        <v>6.93</v>
      </c>
      <c r="AI141" s="97"/>
      <c r="AJ141" s="97"/>
      <c r="AK141" s="97"/>
      <c r="AL141" s="96"/>
      <c r="AW141" s="72"/>
      <c r="AX141" s="75"/>
      <c r="AY141" s="75"/>
      <c r="AZ141" s="75"/>
      <c r="BA141" s="75"/>
      <c r="BB141" s="72"/>
      <c r="BC141" s="72"/>
      <c r="BD141" s="72"/>
      <c r="BE141" s="72"/>
      <c r="BG141" s="74">
        <v>6.89</v>
      </c>
      <c r="BH141" s="93">
        <v>112.54191363251483</v>
      </c>
      <c r="BI141" s="93">
        <v>94.592330003222671</v>
      </c>
      <c r="BJ141" s="93">
        <v>32.955288985823337</v>
      </c>
      <c r="BK141" s="88">
        <f t="shared" si="24"/>
        <v>17.949583629292164</v>
      </c>
      <c r="BL141" s="88"/>
      <c r="BM141" s="88"/>
      <c r="BN141" s="88"/>
      <c r="BO141" s="88"/>
      <c r="BP141" s="70">
        <v>61.6036</v>
      </c>
      <c r="BU141" s="70">
        <v>19.485299999999999</v>
      </c>
      <c r="BV141" s="70">
        <v>13.289199999999999</v>
      </c>
      <c r="BW141" s="71">
        <v>96.771799999999999</v>
      </c>
      <c r="BX141" s="71">
        <f t="shared" si="28"/>
        <v>75.141552653238705</v>
      </c>
      <c r="BY141" s="71">
        <v>49.2654</v>
      </c>
      <c r="BZ141" s="71">
        <v>20.3596</v>
      </c>
      <c r="CA141" s="71">
        <v>3.5895999999999999</v>
      </c>
      <c r="CB141" s="71">
        <v>42.645000000000003</v>
      </c>
      <c r="CC141" s="72"/>
      <c r="CD141" s="101">
        <f>42.8+42.6</f>
        <v>85.4</v>
      </c>
      <c r="CE141" s="101"/>
      <c r="CF141" s="72">
        <f t="shared" si="49"/>
        <v>207.84228116354046</v>
      </c>
      <c r="CG141" s="72"/>
      <c r="CH141" s="72"/>
      <c r="CI141" s="72"/>
      <c r="CJ141" s="72"/>
      <c r="CL141" s="74">
        <v>6.83</v>
      </c>
      <c r="CM141" s="69"/>
      <c r="CN141" s="69"/>
      <c r="CO141" s="69"/>
      <c r="CP141" s="69"/>
      <c r="CQ141" s="76"/>
      <c r="CR141" s="76"/>
      <c r="CS141" s="177"/>
      <c r="CT141" s="70"/>
      <c r="CU141" s="76"/>
      <c r="CV141" s="77"/>
      <c r="CW141" s="77"/>
      <c r="CX141" s="77"/>
      <c r="CY141" s="77"/>
      <c r="CZ141" s="77"/>
      <c r="DA141" s="66"/>
      <c r="DB141" s="66"/>
      <c r="DC141" s="66"/>
      <c r="DD141" s="66"/>
      <c r="DE141" s="66"/>
      <c r="DF141" s="66"/>
      <c r="DG141" s="66"/>
      <c r="DH141" s="66"/>
      <c r="DI141" s="168"/>
      <c r="DJ141" s="67">
        <v>6.98</v>
      </c>
      <c r="DK141" s="69">
        <v>13.574936494496189</v>
      </c>
      <c r="DL141" s="69">
        <v>2.1192394456977119</v>
      </c>
      <c r="DM141" s="69">
        <v>76.68484187568157</v>
      </c>
      <c r="DN141" s="69">
        <f t="shared" si="47"/>
        <v>11.455697048798477</v>
      </c>
      <c r="DO141" s="69"/>
      <c r="DP141" s="69"/>
      <c r="DQ141" s="69"/>
      <c r="DR141" s="69"/>
      <c r="DS141" s="70">
        <v>59.596699999999998</v>
      </c>
      <c r="DT141" s="70"/>
      <c r="DU141" s="70"/>
      <c r="DV141" s="177">
        <v>364.59030000000001</v>
      </c>
      <c r="DW141" s="177">
        <f t="shared" si="43"/>
        <v>82.360948769999993</v>
      </c>
      <c r="DX141" s="70">
        <v>9.3538999999999994</v>
      </c>
      <c r="DY141" s="70">
        <v>40.309100000000001</v>
      </c>
      <c r="DZ141" s="71">
        <v>0.38929999999999998</v>
      </c>
      <c r="EA141" s="71">
        <f t="shared" si="44"/>
        <v>0.30228440979609583</v>
      </c>
      <c r="EB141" s="180">
        <v>51.770200000000003</v>
      </c>
      <c r="EC141" s="180">
        <v>22.2117</v>
      </c>
      <c r="ED141" s="71">
        <v>4.0419999999999998</v>
      </c>
      <c r="EE141" s="180">
        <v>86.727000000000004</v>
      </c>
      <c r="EF141" s="66"/>
      <c r="EG141" s="66">
        <v>21.2</v>
      </c>
      <c r="EH141" s="79">
        <f t="shared" si="48"/>
        <v>32.138060761171005</v>
      </c>
      <c r="EI141" s="66"/>
      <c r="EJ141" s="79"/>
      <c r="EK141" s="66"/>
      <c r="EL141" s="168"/>
      <c r="EM141" s="67">
        <v>6.78</v>
      </c>
      <c r="EN141" s="78"/>
      <c r="EO141" s="78"/>
      <c r="EP141" s="78"/>
      <c r="EQ141" s="78"/>
      <c r="ER141" s="79">
        <f t="shared" si="52"/>
        <v>35.695279354540062</v>
      </c>
      <c r="ES141" s="66"/>
      <c r="ET141" s="66"/>
      <c r="EU141" s="66"/>
      <c r="EV141" s="79">
        <f t="shared" si="53"/>
        <v>86.844472348430273</v>
      </c>
      <c r="EW141" s="79">
        <f>(CF141-EH141)/CF141*100</f>
        <v>84.537284434497124</v>
      </c>
      <c r="EX141" s="66"/>
      <c r="EY141" s="66"/>
      <c r="EZ141" s="66"/>
      <c r="FA141" s="66"/>
      <c r="FB141" s="79">
        <f t="shared" si="54"/>
        <v>90.05674395140133</v>
      </c>
    </row>
    <row r="142" spans="1:158" hidden="1" x14ac:dyDescent="0.3">
      <c r="A142" s="86">
        <v>44799</v>
      </c>
      <c r="B142" s="106">
        <f t="shared" si="29"/>
        <v>100</v>
      </c>
      <c r="C142" s="96">
        <v>505.77054962280789</v>
      </c>
      <c r="D142" s="93">
        <v>142.04012908657216</v>
      </c>
      <c r="E142" s="93">
        <v>35.889052659788284</v>
      </c>
      <c r="F142" s="96">
        <f t="shared" si="22"/>
        <v>363.73042053623573</v>
      </c>
      <c r="G142" s="96"/>
      <c r="H142" s="96"/>
      <c r="I142" s="96"/>
      <c r="J142" s="96"/>
      <c r="K142" s="70">
        <v>70.471000000000004</v>
      </c>
      <c r="N142" s="70">
        <v>0.1948</v>
      </c>
      <c r="O142" s="70">
        <f t="shared" si="41"/>
        <v>4.4005320000000001E-2</v>
      </c>
      <c r="Q142" s="70">
        <v>59.666800000000002</v>
      </c>
      <c r="R142" s="71">
        <v>42.117800000000003</v>
      </c>
      <c r="S142" s="71">
        <f t="shared" si="26"/>
        <v>32.703710030593392</v>
      </c>
      <c r="T142" s="71">
        <v>484.17700000000002</v>
      </c>
      <c r="U142" s="71">
        <v>20.193000000000001</v>
      </c>
      <c r="V142" s="71">
        <v>3.8492000000000002</v>
      </c>
      <c r="W142" s="71">
        <v>27.7182</v>
      </c>
      <c r="X142" s="72"/>
      <c r="Y142" s="73"/>
      <c r="Z142" s="73"/>
      <c r="AA142" s="72">
        <f t="shared" si="40"/>
        <v>1305.1060085672077</v>
      </c>
      <c r="AB142" s="72"/>
      <c r="AC142" s="72"/>
      <c r="AD142" s="72"/>
      <c r="AE142" s="72"/>
      <c r="AF142" s="72"/>
      <c r="AH142" s="74">
        <v>7.06</v>
      </c>
      <c r="AI142" s="97"/>
      <c r="AJ142" s="97"/>
      <c r="AK142" s="97"/>
      <c r="AL142" s="96"/>
      <c r="AW142" s="72"/>
      <c r="AX142" s="75"/>
      <c r="AY142" s="75"/>
      <c r="AZ142" s="75"/>
      <c r="BA142" s="75"/>
      <c r="BB142" s="72"/>
      <c r="BC142" s="72"/>
      <c r="BD142" s="72"/>
      <c r="BE142" s="72"/>
      <c r="BG142" s="74">
        <v>6.89</v>
      </c>
      <c r="BH142" s="93">
        <v>215.67551680219458</v>
      </c>
      <c r="BI142" s="93">
        <v>163.60881156166687</v>
      </c>
      <c r="BJ142" s="93">
        <v>38.300951360042873</v>
      </c>
      <c r="BK142" s="88">
        <f t="shared" si="24"/>
        <v>52.06670524052771</v>
      </c>
      <c r="BL142" s="88"/>
      <c r="BM142" s="88"/>
      <c r="BN142" s="88"/>
      <c r="BO142" s="88"/>
      <c r="BP142" s="70">
        <v>67.969399999999993</v>
      </c>
      <c r="BU142" s="70">
        <v>14.8492</v>
      </c>
      <c r="BV142" s="70">
        <v>11.9391</v>
      </c>
      <c r="BW142" s="71">
        <v>77.345399999999998</v>
      </c>
      <c r="BX142" s="71">
        <f t="shared" si="28"/>
        <v>60.057304365381327</v>
      </c>
      <c r="BY142" s="71">
        <v>174.6037</v>
      </c>
      <c r="BZ142" s="71">
        <v>19.680099999999999</v>
      </c>
      <c r="CA142" s="71">
        <v>4.1044999999999998</v>
      </c>
      <c r="CB142" s="71">
        <v>55.457299999999996</v>
      </c>
      <c r="CC142" s="72"/>
      <c r="CD142" s="72"/>
      <c r="CE142" s="72"/>
      <c r="CF142" s="72">
        <f t="shared" si="49"/>
        <v>317.95529116380317</v>
      </c>
      <c r="CG142" s="72"/>
      <c r="CH142" s="72"/>
      <c r="CI142" s="72"/>
      <c r="CJ142" s="72"/>
      <c r="CL142" s="74">
        <v>6.9</v>
      </c>
      <c r="CM142" s="69"/>
      <c r="CN142" s="69"/>
      <c r="CO142" s="69"/>
      <c r="CP142" s="69"/>
      <c r="CQ142" s="76"/>
      <c r="CR142" s="76"/>
      <c r="CS142" s="177"/>
      <c r="CT142" s="70"/>
      <c r="CU142" s="76"/>
      <c r="CV142" s="77"/>
      <c r="CW142" s="77"/>
      <c r="CX142" s="77"/>
      <c r="CY142" s="77"/>
      <c r="CZ142" s="77"/>
      <c r="DA142" s="66"/>
      <c r="DB142" s="66"/>
      <c r="DC142" s="66"/>
      <c r="DD142" s="66"/>
      <c r="DE142" s="66"/>
      <c r="DF142" s="66"/>
      <c r="DG142" s="66"/>
      <c r="DH142" s="66"/>
      <c r="DI142" s="168"/>
      <c r="DJ142" s="67">
        <v>7.57</v>
      </c>
      <c r="DK142" s="69">
        <v>29.579700205741158</v>
      </c>
      <c r="DL142" s="69">
        <v>22.191665497404234</v>
      </c>
      <c r="DM142" s="69">
        <v>65.748358568940091</v>
      </c>
      <c r="DN142" s="69">
        <f t="shared" si="47"/>
        <v>7.3880347083369244</v>
      </c>
      <c r="DO142" s="69"/>
      <c r="DP142" s="69"/>
      <c r="DQ142" s="69"/>
      <c r="DR142" s="69"/>
      <c r="DS142" s="70">
        <v>66.188900000000004</v>
      </c>
      <c r="DT142" s="70">
        <v>0.65739999999999998</v>
      </c>
      <c r="DU142" s="70">
        <f>DT142/3.28443</f>
        <v>0.20015649595211346</v>
      </c>
      <c r="DV142" s="177">
        <v>362.09160000000003</v>
      </c>
      <c r="DW142" s="177">
        <f t="shared" si="43"/>
        <v>81.796492440000009</v>
      </c>
      <c r="DX142" s="70">
        <v>3.8473999999999999</v>
      </c>
      <c r="DY142" s="70">
        <v>72.137600000000006</v>
      </c>
      <c r="DZ142" s="71">
        <v>0.29170000000000001</v>
      </c>
      <c r="EA142" s="71">
        <f t="shared" si="44"/>
        <v>0.22649977482024444</v>
      </c>
      <c r="EB142" s="180">
        <v>143.3398</v>
      </c>
      <c r="EC142" s="180">
        <v>21.121600000000001</v>
      </c>
      <c r="ED142" s="71">
        <v>3.5196999999999998</v>
      </c>
      <c r="EE142" s="180">
        <v>64.282200000000003</v>
      </c>
      <c r="EF142" s="66"/>
      <c r="EG142" s="66"/>
      <c r="EH142" s="79">
        <f t="shared" si="48"/>
        <v>13.877104216136956</v>
      </c>
      <c r="EI142" s="66"/>
      <c r="EJ142" s="79"/>
      <c r="EK142" s="66"/>
      <c r="EL142" s="168"/>
      <c r="EM142" s="67">
        <v>7.77</v>
      </c>
      <c r="EN142" s="78"/>
      <c r="EO142" s="78"/>
      <c r="EP142" s="78"/>
      <c r="EQ142" s="78"/>
      <c r="ER142" s="79">
        <f t="shared" si="52"/>
        <v>75.637588894953751</v>
      </c>
      <c r="ES142" s="66"/>
      <c r="ET142" s="66"/>
      <c r="EU142" s="66"/>
      <c r="EV142" s="79">
        <f t="shared" si="53"/>
        <v>97.968815834143044</v>
      </c>
      <c r="EW142" s="79">
        <f t="shared" ref="EW142:EW150" si="55">(CF142-EH142)/CF142*100</f>
        <v>95.635517130303768</v>
      </c>
      <c r="EX142" s="66"/>
      <c r="EY142" s="66"/>
      <c r="EZ142" s="66"/>
      <c r="FA142" s="66"/>
      <c r="FB142" s="79">
        <f t="shared" si="54"/>
        <v>98.936706740675291</v>
      </c>
    </row>
    <row r="143" spans="1:158" hidden="1" x14ac:dyDescent="0.3">
      <c r="A143" s="86">
        <v>44802</v>
      </c>
      <c r="B143" s="106">
        <f t="shared" si="29"/>
        <v>103</v>
      </c>
      <c r="C143" s="96">
        <v>137.6584696776722</v>
      </c>
      <c r="D143" s="93">
        <v>63.291707590851672</v>
      </c>
      <c r="E143" s="93">
        <v>37.505024788958863</v>
      </c>
      <c r="F143" s="96">
        <f t="shared" si="22"/>
        <v>74.366762086820529</v>
      </c>
      <c r="G143" s="96"/>
      <c r="H143" s="96"/>
      <c r="I143" s="96"/>
      <c r="J143" s="96"/>
      <c r="K143" s="70">
        <v>52.676200000000001</v>
      </c>
      <c r="N143" s="70">
        <v>0.19670000000000001</v>
      </c>
      <c r="O143" s="70">
        <f t="shared" si="41"/>
        <v>4.443453E-2</v>
      </c>
      <c r="P143" s="70">
        <v>5.5530999999999997</v>
      </c>
      <c r="Q143" s="70">
        <v>28.105699999999999</v>
      </c>
      <c r="R143" s="71">
        <v>73.345500000000001</v>
      </c>
      <c r="S143" s="71">
        <f t="shared" si="26"/>
        <v>56.951454350628175</v>
      </c>
      <c r="T143" s="71">
        <v>48.0989</v>
      </c>
      <c r="U143" s="71">
        <v>18.717700000000001</v>
      </c>
      <c r="V143" s="71">
        <v>3.0503999999999998</v>
      </c>
      <c r="W143" s="71">
        <v>24.3538</v>
      </c>
      <c r="X143" s="72"/>
      <c r="Y143" s="73"/>
      <c r="Z143" s="73"/>
      <c r="AA143" s="72">
        <f t="shared" si="40"/>
        <v>278.09651199854341</v>
      </c>
      <c r="AB143" s="72"/>
      <c r="AC143" s="72"/>
      <c r="AD143" s="72"/>
      <c r="AE143" s="72"/>
      <c r="AF143" s="72"/>
      <c r="AH143" s="74">
        <v>7.18</v>
      </c>
      <c r="AI143" s="97"/>
      <c r="AJ143" s="97"/>
      <c r="AK143" s="97"/>
      <c r="AL143" s="96"/>
      <c r="AW143" s="72"/>
      <c r="AX143" s="75"/>
      <c r="AY143" s="75"/>
      <c r="AZ143" s="75"/>
      <c r="BA143" s="75"/>
      <c r="BB143" s="72"/>
      <c r="BC143" s="72"/>
      <c r="BD143" s="72"/>
      <c r="BE143" s="72"/>
      <c r="BG143" s="74">
        <v>6.92</v>
      </c>
      <c r="BH143" s="93">
        <v>147.85147447829922</v>
      </c>
      <c r="BI143" s="93">
        <v>155.9814788831205</v>
      </c>
      <c r="BJ143" s="93">
        <v>34.948412166688996</v>
      </c>
      <c r="BK143" s="88">
        <f t="shared" si="24"/>
        <v>-8.1300044048212783</v>
      </c>
      <c r="BL143" s="88"/>
      <c r="BM143" s="88"/>
      <c r="BN143" s="88"/>
      <c r="BO143" s="88"/>
      <c r="BP143" s="70">
        <v>55.473799999999997</v>
      </c>
      <c r="BU143" s="70">
        <v>19.7803</v>
      </c>
      <c r="BV143" s="70">
        <v>4.5023999999999997</v>
      </c>
      <c r="BW143" s="71">
        <v>84.938599999999994</v>
      </c>
      <c r="BX143" s="71">
        <f t="shared" si="28"/>
        <v>65.9532868479493</v>
      </c>
      <c r="BY143" s="71">
        <v>78.512200000000007</v>
      </c>
      <c r="BZ143" s="71">
        <v>18.820599999999999</v>
      </c>
      <c r="CA143" s="71">
        <v>4.2035</v>
      </c>
      <c r="CB143" s="71">
        <v>112.8566</v>
      </c>
      <c r="CC143" s="72"/>
      <c r="CD143" s="72"/>
      <c r="CE143" s="72"/>
      <c r="CF143" s="72">
        <f t="shared" si="49"/>
        <v>123.67041078343932</v>
      </c>
      <c r="CG143" s="72"/>
      <c r="CH143" s="72"/>
      <c r="CI143" s="72"/>
      <c r="CJ143" s="72"/>
      <c r="CL143" s="74">
        <v>6.83</v>
      </c>
      <c r="CM143" s="69"/>
      <c r="CN143" s="69"/>
      <c r="CO143" s="69"/>
      <c r="CP143" s="69"/>
      <c r="CQ143" s="76"/>
      <c r="CR143" s="76"/>
      <c r="CS143" s="177"/>
      <c r="CT143" s="70"/>
      <c r="CU143" s="76"/>
      <c r="CV143" s="77"/>
      <c r="CW143" s="77"/>
      <c r="CX143" s="77"/>
      <c r="CY143" s="77"/>
      <c r="CZ143" s="77"/>
      <c r="DA143" s="66"/>
      <c r="DB143" s="66"/>
      <c r="DC143" s="66"/>
      <c r="DD143" s="66"/>
      <c r="DE143" s="66"/>
      <c r="DF143" s="66"/>
      <c r="DG143" s="66"/>
      <c r="DH143" s="66"/>
      <c r="DI143" s="168"/>
      <c r="DJ143" s="67">
        <v>7.86</v>
      </c>
      <c r="DK143" s="69">
        <v>57.936710100911142</v>
      </c>
      <c r="DL143" s="69">
        <v>52.608390627192357</v>
      </c>
      <c r="DM143" s="69">
        <v>72.308723033632575</v>
      </c>
      <c r="DN143" s="69">
        <f t="shared" si="47"/>
        <v>5.3283194737187856</v>
      </c>
      <c r="DO143" s="69"/>
      <c r="DP143" s="69"/>
      <c r="DQ143" s="69"/>
      <c r="DR143" s="69"/>
      <c r="DS143" s="70">
        <v>59.924399999999999</v>
      </c>
      <c r="DT143" s="70">
        <v>0.2505</v>
      </c>
      <c r="DU143" s="70">
        <f t="shared" ref="DU143:DU150" si="56">DT143/3.28443</f>
        <v>7.6268941642842134E-2</v>
      </c>
      <c r="DV143" s="177">
        <v>363.4479</v>
      </c>
      <c r="DW143" s="177">
        <f t="shared" si="43"/>
        <v>82.10288061</v>
      </c>
      <c r="DX143" s="70">
        <v>1.6975</v>
      </c>
      <c r="DY143" s="70">
        <v>74.643000000000001</v>
      </c>
      <c r="DZ143" s="71">
        <v>0.34039999999999998</v>
      </c>
      <c r="EA143" s="71">
        <f t="shared" si="44"/>
        <v>0.26431444411659649</v>
      </c>
      <c r="EB143" s="180">
        <v>111.6876</v>
      </c>
      <c r="EC143" s="180">
        <v>21.872</v>
      </c>
      <c r="ED143" s="71">
        <v>5.0477999999999996</v>
      </c>
      <c r="EE143" s="180">
        <v>142.11869999999999</v>
      </c>
      <c r="EF143" s="66"/>
      <c r="EG143" s="66"/>
      <c r="EH143" s="79">
        <f t="shared" si="48"/>
        <v>4.6304246133657436</v>
      </c>
      <c r="EI143" s="66"/>
      <c r="EJ143" s="79"/>
      <c r="EK143" s="66"/>
      <c r="EL143" s="168"/>
      <c r="EM143" s="67">
        <v>8.2200000000000006</v>
      </c>
      <c r="EN143" s="78"/>
      <c r="EO143" s="78"/>
      <c r="EP143" s="78"/>
      <c r="EQ143" s="78"/>
      <c r="ER143" s="79">
        <f t="shared" si="52"/>
        <v>55.529679284835098</v>
      </c>
      <c r="ES143" s="66"/>
      <c r="ET143" s="66"/>
      <c r="EU143" s="66"/>
      <c r="EV143" s="79">
        <f t="shared" si="53"/>
        <v>92.835079376592788</v>
      </c>
      <c r="EW143" s="79">
        <f t="shared" si="55"/>
        <v>96.25583469478876</v>
      </c>
      <c r="EX143" s="66"/>
      <c r="EY143" s="66"/>
      <c r="EZ143" s="66"/>
      <c r="FA143" s="66"/>
      <c r="FB143" s="79">
        <f t="shared" si="54"/>
        <v>98.334957680666633</v>
      </c>
    </row>
    <row r="144" spans="1:158" hidden="1" x14ac:dyDescent="0.3">
      <c r="A144" s="86">
        <v>44804</v>
      </c>
      <c r="B144" s="106">
        <f t="shared" si="29"/>
        <v>105</v>
      </c>
      <c r="C144" s="96">
        <v>218.99088860585874</v>
      </c>
      <c r="D144" s="93">
        <v>48.744212150975159</v>
      </c>
      <c r="E144" s="93">
        <v>31.740586895350397</v>
      </c>
      <c r="F144" s="96">
        <f t="shared" si="22"/>
        <v>170.24667645488358</v>
      </c>
      <c r="G144" s="96"/>
      <c r="H144" s="96"/>
      <c r="I144" s="96"/>
      <c r="J144" s="96"/>
      <c r="K144" s="70">
        <v>61.758600000000001</v>
      </c>
      <c r="Q144" s="70">
        <v>24.707599999999999</v>
      </c>
      <c r="R144" s="71">
        <v>62.406700000000001</v>
      </c>
      <c r="S144" s="71">
        <f t="shared" si="26"/>
        <v>48.457673970773222</v>
      </c>
      <c r="T144" s="71">
        <v>49.609400000000001</v>
      </c>
      <c r="U144" s="71">
        <v>22.374500000000001</v>
      </c>
      <c r="V144" s="71">
        <v>3.2075</v>
      </c>
      <c r="W144" s="71">
        <v>24.922999999999998</v>
      </c>
      <c r="X144" s="72"/>
      <c r="Y144" s="73"/>
      <c r="Z144" s="73"/>
      <c r="AA144" s="72">
        <f t="shared" si="40"/>
        <v>618.39350407367283</v>
      </c>
      <c r="AB144" s="72"/>
      <c r="AC144" s="72"/>
      <c r="AD144" s="72"/>
      <c r="AE144" s="72"/>
      <c r="AF144" s="72"/>
      <c r="AH144" s="74">
        <v>7.19</v>
      </c>
      <c r="AI144" s="97"/>
      <c r="AJ144" s="97"/>
      <c r="AK144" s="97"/>
      <c r="AL144" s="96"/>
      <c r="AW144" s="72"/>
      <c r="AX144" s="75"/>
      <c r="AY144" s="75"/>
      <c r="AZ144" s="75"/>
      <c r="BA144" s="75"/>
      <c r="BB144" s="72"/>
      <c r="BC144" s="72"/>
      <c r="BD144" s="72"/>
      <c r="BE144" s="72"/>
      <c r="BG144" s="74">
        <v>6.7</v>
      </c>
      <c r="BH144" s="93">
        <v>135.61281473498579</v>
      </c>
      <c r="BI144" s="93">
        <v>145.42444226182121</v>
      </c>
      <c r="BJ144" s="93">
        <v>29.642235026128898</v>
      </c>
      <c r="BK144" s="88">
        <f t="shared" si="24"/>
        <v>-9.8116275268354229</v>
      </c>
      <c r="BL144" s="88"/>
      <c r="BM144" s="88"/>
      <c r="BN144" s="88"/>
      <c r="BO144" s="88"/>
      <c r="BP144" s="70">
        <v>54.861400000000003</v>
      </c>
      <c r="BS144" s="70">
        <v>0.2051</v>
      </c>
      <c r="BT144" s="70">
        <f t="shared" si="27"/>
        <v>4.6332089999999999E-2</v>
      </c>
      <c r="BU144" s="70">
        <v>14.5055</v>
      </c>
      <c r="BV144" s="70">
        <v>1.7472000000000001</v>
      </c>
      <c r="BW144" s="71">
        <v>60.926600000000001</v>
      </c>
      <c r="BX144" s="71">
        <f t="shared" si="28"/>
        <v>47.308403087292099</v>
      </c>
      <c r="BY144" s="71">
        <v>59.640900000000002</v>
      </c>
      <c r="BZ144" s="71">
        <v>20.171800000000001</v>
      </c>
      <c r="CA144" s="71">
        <v>3.4994000000000001</v>
      </c>
      <c r="CB144" s="71">
        <v>120.0249</v>
      </c>
      <c r="CC144" s="72"/>
      <c r="CD144" s="72"/>
      <c r="CE144" s="72"/>
      <c r="CF144" s="72">
        <f t="shared" si="49"/>
        <v>118.24297215713867</v>
      </c>
      <c r="CG144" s="72"/>
      <c r="CH144" s="72"/>
      <c r="CI144" s="72"/>
      <c r="CJ144" s="72"/>
      <c r="CL144" s="74">
        <v>6.79</v>
      </c>
      <c r="CM144" s="69"/>
      <c r="CN144" s="69"/>
      <c r="CO144" s="69"/>
      <c r="CP144" s="69"/>
      <c r="CQ144" s="76"/>
      <c r="CR144" s="76"/>
      <c r="CS144" s="177"/>
      <c r="CT144" s="70"/>
      <c r="CU144" s="76"/>
      <c r="CV144" s="77"/>
      <c r="CW144" s="77"/>
      <c r="CX144" s="77"/>
      <c r="CY144" s="77"/>
      <c r="CZ144" s="77"/>
      <c r="DA144" s="66"/>
      <c r="DB144" s="66"/>
      <c r="DC144" s="66"/>
      <c r="DD144" s="66"/>
      <c r="DE144" s="66"/>
      <c r="DF144" s="66"/>
      <c r="DG144" s="66"/>
      <c r="DH144" s="66"/>
      <c r="DI144" s="168"/>
      <c r="DJ144" s="67">
        <v>8.06</v>
      </c>
      <c r="DK144" s="69">
        <v>63.579896149701177</v>
      </c>
      <c r="DL144" s="69">
        <v>56.83457275150834</v>
      </c>
      <c r="DM144" s="69">
        <v>49.902184108267456</v>
      </c>
      <c r="DN144" s="69">
        <f t="shared" si="47"/>
        <v>6.7453233981928378</v>
      </c>
      <c r="DO144" s="69"/>
      <c r="DP144" s="69"/>
      <c r="DQ144" s="69"/>
      <c r="DR144" s="69"/>
      <c r="DS144" s="70">
        <v>57.532499999999999</v>
      </c>
      <c r="DT144" s="70"/>
      <c r="DU144" s="70"/>
      <c r="DV144" s="177">
        <v>250.12039999999999</v>
      </c>
      <c r="DW144" s="177">
        <f t="shared" si="43"/>
        <v>56.502198359999994</v>
      </c>
      <c r="DX144" s="70">
        <v>1.1869000000000001</v>
      </c>
      <c r="DY144" s="70">
        <v>63.380499999999998</v>
      </c>
      <c r="DZ144" s="71">
        <v>0.13500000000000001</v>
      </c>
      <c r="EA144" s="71">
        <f t="shared" si="44"/>
        <v>0.10482505862438464</v>
      </c>
      <c r="EB144" s="180">
        <v>78.575199999999995</v>
      </c>
      <c r="EC144" s="180">
        <v>21.953499999999998</v>
      </c>
      <c r="ED144" s="71">
        <v>4.3872999999999998</v>
      </c>
      <c r="EE144" s="180">
        <v>146.9965</v>
      </c>
      <c r="EF144" s="66"/>
      <c r="EG144" s="66"/>
      <c r="EH144" s="79">
        <f t="shared" si="48"/>
        <v>10.991780331507108</v>
      </c>
      <c r="EI144" s="66"/>
      <c r="EJ144" s="79"/>
      <c r="EK144" s="66"/>
      <c r="EL144" s="168"/>
      <c r="EM144" s="67">
        <v>8.3800000000000008</v>
      </c>
      <c r="EN144" s="78"/>
      <c r="EO144" s="78"/>
      <c r="EP144" s="78"/>
      <c r="EQ144" s="78"/>
      <c r="ER144" s="79">
        <f t="shared" si="52"/>
        <v>80.879008046136974</v>
      </c>
      <c r="ES144" s="66"/>
      <c r="ET144" s="66"/>
      <c r="EU144" s="66"/>
      <c r="EV144" s="79">
        <f t="shared" si="53"/>
        <v>96.037911847295064</v>
      </c>
      <c r="EW144" s="79">
        <f t="shared" si="55"/>
        <v>90.704073036239635</v>
      </c>
      <c r="EX144" s="66"/>
      <c r="EY144" s="66"/>
      <c r="EZ144" s="66"/>
      <c r="FA144" s="66"/>
      <c r="FB144" s="79">
        <f t="shared" si="54"/>
        <v>98.222526553222394</v>
      </c>
    </row>
    <row r="145" spans="1:160" x14ac:dyDescent="0.3">
      <c r="A145" s="86">
        <v>44806</v>
      </c>
      <c r="B145" s="106">
        <f t="shared" si="29"/>
        <v>107</v>
      </c>
      <c r="C145" s="96">
        <v>199.62770647594789</v>
      </c>
      <c r="D145" s="93">
        <v>50.714185491791767</v>
      </c>
      <c r="E145" s="93">
        <v>34.924293179686451</v>
      </c>
      <c r="F145" s="96">
        <f>C145-D145</f>
        <v>148.91352098415612</v>
      </c>
      <c r="G145" s="96">
        <v>156.96171136257942</v>
      </c>
      <c r="H145" s="96">
        <v>75.854000164785376</v>
      </c>
      <c r="I145" s="96">
        <v>50.164687859057828</v>
      </c>
      <c r="J145" s="96">
        <f>G145-H145</f>
        <v>81.107711197794046</v>
      </c>
      <c r="K145" s="70">
        <v>104.54130000000001</v>
      </c>
      <c r="N145" s="70">
        <v>0.13350000000000001</v>
      </c>
      <c r="O145" s="70">
        <f t="shared" si="41"/>
        <v>3.0157650000000001E-2</v>
      </c>
      <c r="P145" s="70">
        <v>1.3255999999999999</v>
      </c>
      <c r="Q145" s="70">
        <v>58.186599999999999</v>
      </c>
      <c r="R145" s="71">
        <v>69.890799999999999</v>
      </c>
      <c r="S145" s="71">
        <f t="shared" si="26"/>
        <v>54.268942276334386</v>
      </c>
      <c r="T145" s="71">
        <v>69.989400000000003</v>
      </c>
      <c r="U145" s="71">
        <v>19.887599999999999</v>
      </c>
      <c r="V145" s="71">
        <v>3.6356999999999999</v>
      </c>
      <c r="W145" s="71">
        <v>27.615100000000002</v>
      </c>
      <c r="X145" s="72"/>
      <c r="Y145" s="73"/>
      <c r="Z145" s="73"/>
      <c r="AA145" s="72">
        <f t="shared" si="40"/>
        <v>542.67786867696691</v>
      </c>
      <c r="AB145" s="72"/>
      <c r="AC145" s="72"/>
      <c r="AD145" s="72"/>
      <c r="AE145" s="72"/>
      <c r="AF145" s="72"/>
      <c r="AH145" s="74">
        <v>7.33</v>
      </c>
      <c r="AI145" s="97"/>
      <c r="AJ145" s="97"/>
      <c r="AK145" s="97"/>
      <c r="AL145" s="96"/>
      <c r="AW145" s="72"/>
      <c r="AX145" s="75"/>
      <c r="AY145" s="75"/>
      <c r="AZ145" s="75"/>
      <c r="BA145" s="75"/>
      <c r="BB145" s="72"/>
      <c r="BC145" s="72"/>
      <c r="BD145" s="72"/>
      <c r="BE145" s="72"/>
      <c r="BG145" s="74">
        <v>6.87</v>
      </c>
      <c r="BH145" s="93">
        <v>163.65239541491133</v>
      </c>
      <c r="BI145" s="93">
        <v>168.93784200926055</v>
      </c>
      <c r="BJ145" s="93">
        <v>26.410290767787746</v>
      </c>
      <c r="BK145" s="88">
        <f>BH145-BI145</f>
        <v>-5.2854465943492244</v>
      </c>
      <c r="BL145" s="88">
        <v>170.90373585490622</v>
      </c>
      <c r="BM145" s="88">
        <v>154.65436269259294</v>
      </c>
      <c r="BN145" s="88">
        <v>31.746457296055155</v>
      </c>
      <c r="BO145" s="96">
        <f>BL145-BM145</f>
        <v>16.249373162313276</v>
      </c>
      <c r="BP145" s="70">
        <v>55.446300000000001</v>
      </c>
      <c r="BU145" s="70">
        <v>9.3615999999999993</v>
      </c>
      <c r="BV145" s="70">
        <v>4.4734999999999996</v>
      </c>
      <c r="BW145" s="71">
        <v>53.188299999999998</v>
      </c>
      <c r="BX145" s="71">
        <f t="shared" si="28"/>
        <v>41.299753078750797</v>
      </c>
      <c r="BY145" s="71">
        <v>51.9039</v>
      </c>
      <c r="BZ145" s="71">
        <v>18.6052</v>
      </c>
      <c r="CA145" s="71">
        <v>4.3432000000000004</v>
      </c>
      <c r="CB145" s="71">
        <v>196.46109999999999</v>
      </c>
      <c r="CC145" s="72"/>
      <c r="CD145" s="72"/>
      <c r="CE145" s="72"/>
      <c r="CF145" s="72">
        <f t="shared" si="49"/>
        <v>132.85122111673786</v>
      </c>
      <c r="CG145" s="72"/>
      <c r="CH145" s="72"/>
      <c r="CI145" s="72"/>
      <c r="CJ145" s="72"/>
      <c r="CL145" s="74">
        <v>6.95</v>
      </c>
      <c r="CM145" s="69"/>
      <c r="CN145" s="69"/>
      <c r="CO145" s="69"/>
      <c r="CP145" s="69"/>
      <c r="CQ145" s="76"/>
      <c r="CR145" s="76"/>
      <c r="CS145" s="177"/>
      <c r="CT145" s="70"/>
      <c r="CU145" s="76"/>
      <c r="CV145" s="77"/>
      <c r="CW145" s="77"/>
      <c r="CX145" s="77"/>
      <c r="CY145" s="77"/>
      <c r="CZ145" s="77"/>
      <c r="DA145" s="66"/>
      <c r="DB145" s="66"/>
      <c r="DC145" s="66"/>
      <c r="DD145" s="66"/>
      <c r="DE145" s="66"/>
      <c r="DF145" s="66"/>
      <c r="DG145" s="66"/>
      <c r="DH145" s="66"/>
      <c r="DI145" s="168"/>
      <c r="DJ145" s="67">
        <v>8.1300000000000008</v>
      </c>
      <c r="DK145" s="69">
        <v>86.082100519251497</v>
      </c>
      <c r="DL145" s="69">
        <v>72.240774519433131</v>
      </c>
      <c r="DM145" s="69">
        <v>39.072758944124338</v>
      </c>
      <c r="DN145" s="69">
        <f>DK145-DL145</f>
        <v>13.841325999818366</v>
      </c>
      <c r="DO145" s="69">
        <v>80.173616493566882</v>
      </c>
      <c r="DP145" s="69">
        <v>69.279064019115097</v>
      </c>
      <c r="DQ145" s="69">
        <v>42.311374952125625</v>
      </c>
      <c r="DR145" s="69">
        <f>DO145-DP145</f>
        <v>10.894552474451785</v>
      </c>
      <c r="DS145" s="70">
        <v>56.351500000000001</v>
      </c>
      <c r="DT145" s="70">
        <v>0.17369999999999999</v>
      </c>
      <c r="DU145" s="70">
        <f t="shared" si="56"/>
        <v>5.2885888875695328E-2</v>
      </c>
      <c r="DV145" s="177">
        <v>190.54490000000001</v>
      </c>
      <c r="DW145" s="177">
        <f t="shared" si="43"/>
        <v>43.044092910000003</v>
      </c>
      <c r="DX145" s="70"/>
      <c r="DY145" s="70">
        <v>48.890799999999999</v>
      </c>
      <c r="DZ145" s="71">
        <v>0.13800000000000001</v>
      </c>
      <c r="EA145" s="71">
        <f t="shared" si="44"/>
        <v>0.1071545043715932</v>
      </c>
      <c r="EB145" s="180">
        <v>61.384300000000003</v>
      </c>
      <c r="EC145" s="180">
        <v>20.572199999999999</v>
      </c>
      <c r="ED145" s="71">
        <v>5.0133999999999999</v>
      </c>
      <c r="EE145" s="180">
        <v>170.62309999999999</v>
      </c>
      <c r="EF145" s="66"/>
      <c r="EG145" s="66"/>
      <c r="EH145" s="79">
        <f t="shared" si="48"/>
        <v>42.847864810984596</v>
      </c>
      <c r="EI145" s="66"/>
      <c r="EJ145" s="79"/>
      <c r="EK145" s="66"/>
      <c r="EL145" s="168"/>
      <c r="EM145" s="67">
        <v>8.41</v>
      </c>
      <c r="EN145" s="78"/>
      <c r="EO145" s="78"/>
      <c r="EP145" s="78"/>
      <c r="EQ145" s="78"/>
      <c r="ER145" s="79">
        <f t="shared" si="52"/>
        <v>75.519322090538651</v>
      </c>
      <c r="ES145" s="66"/>
      <c r="ET145" s="66"/>
      <c r="EU145" s="66"/>
      <c r="EV145" s="79">
        <f t="shared" si="53"/>
        <v>90.705124754057067</v>
      </c>
      <c r="EW145" s="79">
        <f t="shared" si="55"/>
        <v>67.747481392486648</v>
      </c>
      <c r="EX145" s="66"/>
      <c r="EY145" s="66"/>
      <c r="EZ145" s="66"/>
      <c r="FA145" s="66"/>
      <c r="FB145" s="79">
        <f t="shared" si="54"/>
        <v>92.104364802005563</v>
      </c>
      <c r="FC145" s="118">
        <f>(F145-DN145)/F145*100</f>
        <v>90.705124754057067</v>
      </c>
      <c r="FD145" s="118">
        <f>(J145-DR145)/J145*100</f>
        <v>86.567796928847258</v>
      </c>
    </row>
    <row r="146" spans="1:160" x14ac:dyDescent="0.3">
      <c r="A146" s="86">
        <v>44809</v>
      </c>
      <c r="B146" s="106">
        <f t="shared" si="29"/>
        <v>110</v>
      </c>
      <c r="C146" s="96">
        <v>115.92128801431126</v>
      </c>
      <c r="D146" s="93">
        <v>47.964300892477681</v>
      </c>
      <c r="E146" s="93">
        <v>26.568007010028236</v>
      </c>
      <c r="F146" s="96">
        <f t="shared" si="22"/>
        <v>67.956987121833578</v>
      </c>
      <c r="G146" s="96">
        <v>87.874748101069599</v>
      </c>
      <c r="H146" s="96">
        <v>63.514871879377111</v>
      </c>
      <c r="I146" s="96">
        <v>38.582918422060509</v>
      </c>
      <c r="J146" s="96">
        <f t="shared" ref="J146:J150" si="57">G146-H146</f>
        <v>24.359876221692488</v>
      </c>
      <c r="K146" s="70">
        <v>54.153100000000002</v>
      </c>
      <c r="P146" s="70">
        <v>11.8424</v>
      </c>
      <c r="Q146" s="70">
        <v>28.871700000000001</v>
      </c>
      <c r="R146" s="71">
        <v>67.840900000000005</v>
      </c>
      <c r="S146" s="71">
        <f t="shared" si="26"/>
        <v>52.677231997266787</v>
      </c>
      <c r="T146" s="71">
        <v>42.421599999999998</v>
      </c>
      <c r="U146" s="71">
        <v>17.737400000000001</v>
      </c>
      <c r="V146" s="71">
        <v>2.8784000000000001</v>
      </c>
      <c r="W146" s="71">
        <v>23.180099999999999</v>
      </c>
      <c r="X146" s="72"/>
      <c r="Y146" s="73">
        <f>AVERAGE(265,241,228)</f>
        <v>244.66666666666666</v>
      </c>
      <c r="Z146" s="73"/>
      <c r="AA146" s="72">
        <f t="shared" si="40"/>
        <v>255.34693869281173</v>
      </c>
      <c r="AB146" s="72"/>
      <c r="AC146" s="72"/>
      <c r="AD146" s="72"/>
      <c r="AE146" s="72"/>
      <c r="AF146" s="72"/>
      <c r="AH146" s="74">
        <v>7.2</v>
      </c>
      <c r="AI146" s="97"/>
      <c r="AJ146" s="97"/>
      <c r="AK146" s="97"/>
      <c r="AL146" s="96"/>
      <c r="AW146" s="72"/>
      <c r="AX146" s="75"/>
      <c r="AY146" s="75"/>
      <c r="AZ146" s="75"/>
      <c r="BA146" s="75"/>
      <c r="BB146" s="72"/>
      <c r="BC146" s="72"/>
      <c r="BD146" s="72"/>
      <c r="BE146" s="72"/>
      <c r="BG146" s="74">
        <v>6.83</v>
      </c>
      <c r="BH146" s="93">
        <v>132.92307692307691</v>
      </c>
      <c r="BI146" s="93">
        <v>136.21759456013598</v>
      </c>
      <c r="BJ146" s="93">
        <v>21.415636257423813</v>
      </c>
      <c r="BK146" s="88">
        <f t="shared" si="24"/>
        <v>-3.294517637059073</v>
      </c>
      <c r="BL146" s="88">
        <v>140.62935978917997</v>
      </c>
      <c r="BM146" s="88">
        <v>127.09895361291919</v>
      </c>
      <c r="BN146" s="88">
        <v>38.778245882803525</v>
      </c>
      <c r="BO146" s="96">
        <f t="shared" ref="BO146:BO150" si="58">BL146-BM146</f>
        <v>13.530406176260783</v>
      </c>
      <c r="BP146" s="70">
        <v>59.193300000000001</v>
      </c>
      <c r="BU146" s="70">
        <v>16.438099999999999</v>
      </c>
      <c r="BV146" s="70">
        <v>3.9963000000000002</v>
      </c>
      <c r="BW146" s="71">
        <v>77.967100000000002</v>
      </c>
      <c r="BX146" s="71">
        <f t="shared" si="28"/>
        <v>60.540043172394519</v>
      </c>
      <c r="BY146" s="71">
        <v>50.375700000000002</v>
      </c>
      <c r="BZ146" s="71">
        <v>19.852499999999999</v>
      </c>
      <c r="CA146" s="71">
        <v>3.5802</v>
      </c>
      <c r="CB146" s="71">
        <v>126.5236</v>
      </c>
      <c r="CC146" s="72"/>
      <c r="CD146" s="72">
        <f>2*AVERAGE(29.6,31.3,32.2)</f>
        <v>62.06666666666667</v>
      </c>
      <c r="CE146" s="72"/>
      <c r="CF146" s="72">
        <f t="shared" si="49"/>
        <v>139.27694432639183</v>
      </c>
      <c r="CG146" s="72"/>
      <c r="CH146" s="72"/>
      <c r="CI146" s="72"/>
      <c r="CJ146" s="72"/>
      <c r="CL146" s="74">
        <v>6.82</v>
      </c>
      <c r="CM146" s="69"/>
      <c r="CN146" s="69"/>
      <c r="CO146" s="69"/>
      <c r="CP146" s="69"/>
      <c r="CQ146" s="76"/>
      <c r="CR146" s="76"/>
      <c r="CS146" s="177"/>
      <c r="CT146" s="70"/>
      <c r="CU146" s="76"/>
      <c r="CV146" s="77"/>
      <c r="CW146" s="77"/>
      <c r="CX146" s="77"/>
      <c r="CY146" s="77"/>
      <c r="CZ146" s="77"/>
      <c r="DA146" s="66"/>
      <c r="DB146" s="66"/>
      <c r="DC146" s="66"/>
      <c r="DD146" s="66"/>
      <c r="DE146" s="66"/>
      <c r="DF146" s="66"/>
      <c r="DG146" s="66"/>
      <c r="DH146" s="66"/>
      <c r="DI146" s="168"/>
      <c r="DJ146" s="67">
        <v>8.02</v>
      </c>
      <c r="DK146" s="69">
        <v>60.722719141323786</v>
      </c>
      <c r="DL146" s="69">
        <v>47.751806204844875</v>
      </c>
      <c r="DM146" s="69">
        <v>66.361600623113603</v>
      </c>
      <c r="DN146" s="69">
        <f t="shared" si="47"/>
        <v>12.970912936478911</v>
      </c>
      <c r="DO146" s="69">
        <v>55.712292667803439</v>
      </c>
      <c r="DP146" s="69">
        <v>46.400263656587299</v>
      </c>
      <c r="DQ146" s="69">
        <v>61.614324013787822</v>
      </c>
      <c r="DR146" s="69">
        <f t="shared" ref="DR146:DR150" si="59">DO146-DP146</f>
        <v>9.3120290112161399</v>
      </c>
      <c r="DS146" s="70">
        <v>61.868200000000002</v>
      </c>
      <c r="DT146" s="70">
        <v>0.26579999999999998</v>
      </c>
      <c r="DU146" s="70">
        <f t="shared" si="56"/>
        <v>8.092728418629716E-2</v>
      </c>
      <c r="DV146" s="177">
        <v>302.06439999999998</v>
      </c>
      <c r="DW146" s="177">
        <f t="shared" si="43"/>
        <v>68.236347959999989</v>
      </c>
      <c r="DX146" s="70"/>
      <c r="DY146" s="70">
        <v>57.747</v>
      </c>
      <c r="DZ146" s="71">
        <v>0.12509999999999999</v>
      </c>
      <c r="EA146" s="71">
        <f t="shared" si="44"/>
        <v>9.713788765859642E-2</v>
      </c>
      <c r="EB146" s="180">
        <v>55.326599999999999</v>
      </c>
      <c r="EC146" s="180">
        <v>22.590599999999998</v>
      </c>
      <c r="ED146" s="71">
        <v>4.4177999999999997</v>
      </c>
      <c r="EE146" s="180">
        <v>164.17449999999999</v>
      </c>
      <c r="EF146" s="66"/>
      <c r="EG146" s="66">
        <f>AVERAGE(24.6,25.4,25.3)</f>
        <v>25.099999999999998</v>
      </c>
      <c r="EH146" s="79">
        <f t="shared" si="48"/>
        <v>38.940319445734772</v>
      </c>
      <c r="EI146" s="66"/>
      <c r="EJ146" s="79"/>
      <c r="EK146" s="66"/>
      <c r="EL146" s="168"/>
      <c r="EM146" s="67">
        <v>8.14</v>
      </c>
      <c r="EN146" s="78"/>
      <c r="EO146" s="78"/>
      <c r="EP146" s="78"/>
      <c r="EQ146" s="78"/>
      <c r="ER146" s="79">
        <f t="shared" si="52"/>
        <v>45.455800238143759</v>
      </c>
      <c r="ES146" s="66"/>
      <c r="ET146" s="66"/>
      <c r="EU146" s="66"/>
      <c r="EV146" s="79">
        <f t="shared" si="53"/>
        <v>80.913054733835395</v>
      </c>
      <c r="EW146" s="79">
        <f t="shared" si="55"/>
        <v>72.041087177731896</v>
      </c>
      <c r="EX146" s="66"/>
      <c r="EY146" s="66"/>
      <c r="EZ146" s="66"/>
      <c r="FA146" s="66"/>
      <c r="FB146" s="79">
        <f t="shared" si="54"/>
        <v>84.75003473897884</v>
      </c>
      <c r="FC146" s="118">
        <f t="shared" ref="FC146:FC150" si="60">(F146-DN146)/F146*100</f>
        <v>80.913054733835395</v>
      </c>
      <c r="FD146" s="118">
        <f t="shared" ref="FD146:FD150" si="61">(J146-DR146)/J146*100</f>
        <v>61.773085682086624</v>
      </c>
    </row>
    <row r="147" spans="1:160" x14ac:dyDescent="0.3">
      <c r="A147" s="86">
        <v>44812</v>
      </c>
      <c r="B147" s="106">
        <f t="shared" si="29"/>
        <v>113</v>
      </c>
      <c r="C147" s="96">
        <v>300.10733452593917</v>
      </c>
      <c r="D147" s="93">
        <v>46.893327666808332</v>
      </c>
      <c r="E147" s="93">
        <v>30.049654366663415</v>
      </c>
      <c r="F147" s="96">
        <f t="shared" ref="F147:F150" si="62">C147-D147</f>
        <v>253.21400685913085</v>
      </c>
      <c r="G147" s="96">
        <v>221.50984343512633</v>
      </c>
      <c r="H147" s="96">
        <v>59.441377605668613</v>
      </c>
      <c r="I147" s="96">
        <v>44.16698582918422</v>
      </c>
      <c r="J147" s="96">
        <f t="shared" si="57"/>
        <v>162.06846582945772</v>
      </c>
      <c r="K147" s="70">
        <v>47.2515</v>
      </c>
      <c r="P147" s="70">
        <v>8.4518000000000004</v>
      </c>
      <c r="Q147" s="70">
        <v>29.5106</v>
      </c>
      <c r="R147" s="71">
        <v>60.268300000000004</v>
      </c>
      <c r="S147" s="71">
        <f t="shared" si="26"/>
        <v>46.79724504216297</v>
      </c>
      <c r="T147" s="71">
        <v>46.965699999999998</v>
      </c>
      <c r="U147" s="71">
        <v>18.398800000000001</v>
      </c>
      <c r="V147" s="71">
        <v>4.4164000000000003</v>
      </c>
      <c r="W147" s="71">
        <v>28.979700000000001</v>
      </c>
      <c r="X147" s="72"/>
      <c r="Y147" s="73">
        <f>AVERAGE(686,685)</f>
        <v>685.5</v>
      </c>
      <c r="Z147" s="73">
        <f>AVERAGE(1051,1048)</f>
        <v>1049.5</v>
      </c>
      <c r="AA147" s="72">
        <f t="shared" si="40"/>
        <v>912.86115314442713</v>
      </c>
      <c r="AB147" s="72"/>
      <c r="AC147" s="72"/>
      <c r="AD147" s="72"/>
      <c r="AE147" s="72"/>
      <c r="AF147" s="72"/>
      <c r="AI147" s="97"/>
      <c r="AJ147" s="97"/>
      <c r="AK147" s="97"/>
      <c r="AL147" s="96"/>
      <c r="AM147" s="70">
        <v>53.097700000000003</v>
      </c>
      <c r="AP147" s="70">
        <v>14.994999999999999</v>
      </c>
      <c r="AQ147" s="70">
        <v>9.5942000000000007</v>
      </c>
      <c r="AR147" s="71">
        <v>78.408799999999999</v>
      </c>
      <c r="AS147" s="71">
        <v>49.573900000000002</v>
      </c>
      <c r="AT147" s="71">
        <v>19.323899999999998</v>
      </c>
      <c r="AU147" s="71">
        <v>4.8434999999999997</v>
      </c>
      <c r="AV147" s="71">
        <v>75.386899999999997</v>
      </c>
      <c r="AW147" s="72"/>
      <c r="AX147" s="75">
        <f>AVERAGE(219,220)</f>
        <v>219.5</v>
      </c>
      <c r="AY147" s="75">
        <f>AVERAGE(2877,2863)</f>
        <v>2870</v>
      </c>
      <c r="AZ147" s="75"/>
      <c r="BA147" s="75"/>
      <c r="BB147" s="72"/>
      <c r="BC147" s="72"/>
      <c r="BD147" s="72"/>
      <c r="BE147" s="72"/>
      <c r="BH147" s="93">
        <v>141.20930232558138</v>
      </c>
      <c r="BI147" s="93">
        <v>95.95410114747132</v>
      </c>
      <c r="BJ147" s="93">
        <v>36.21847921331905</v>
      </c>
      <c r="BK147" s="88">
        <f t="shared" ref="BK147:BK150" si="63">BH147-BI147</f>
        <v>45.255201178110056</v>
      </c>
      <c r="BL147" s="88">
        <v>125.25499922492639</v>
      </c>
      <c r="BM147" s="88">
        <v>101.97577655104229</v>
      </c>
      <c r="BN147" s="88">
        <v>45.155112983531218</v>
      </c>
      <c r="BO147" s="96">
        <f t="shared" si="58"/>
        <v>23.279222673884107</v>
      </c>
      <c r="BP147" s="70">
        <v>54.346699999999998</v>
      </c>
      <c r="BU147" s="70">
        <v>19.635999999999999</v>
      </c>
      <c r="BV147" s="70">
        <v>9.7559000000000005</v>
      </c>
      <c r="BW147" s="71">
        <v>81.555499999999995</v>
      </c>
      <c r="BX147" s="71">
        <f t="shared" si="28"/>
        <v>63.326370878822225</v>
      </c>
      <c r="BY147" s="71">
        <v>49.958399999999997</v>
      </c>
      <c r="BZ147" s="71">
        <v>22.482700000000001</v>
      </c>
      <c r="CA147" s="71">
        <v>4.6951000000000001</v>
      </c>
      <c r="CB147" s="71">
        <v>73.627899999999997</v>
      </c>
      <c r="CC147" s="72"/>
      <c r="CD147" s="72">
        <f>2*AVERAGE(69.7,70.3)</f>
        <v>140</v>
      </c>
      <c r="CE147" s="72">
        <f>2*131</f>
        <v>262</v>
      </c>
      <c r="CF147" s="72">
        <f t="shared" si="49"/>
        <v>295.9711618023502</v>
      </c>
      <c r="CG147" s="72"/>
      <c r="CH147" s="72"/>
      <c r="CI147" s="72"/>
      <c r="CJ147" s="72"/>
      <c r="CM147" s="69"/>
      <c r="CN147" s="69"/>
      <c r="CO147" s="69"/>
      <c r="CP147" s="69"/>
      <c r="CQ147" s="76">
        <v>57.1556</v>
      </c>
      <c r="CR147" s="76">
        <v>7.0107999999999997</v>
      </c>
      <c r="CS147" s="177">
        <v>308.14620000000002</v>
      </c>
      <c r="CT147" s="70">
        <v>3.7292000000000001</v>
      </c>
      <c r="CU147" s="70">
        <v>58.558900000000001</v>
      </c>
      <c r="CV147" s="71">
        <v>13.952400000000001</v>
      </c>
      <c r="CW147" s="71">
        <v>53.520400000000002</v>
      </c>
      <c r="CX147" s="71">
        <v>25.490200000000002</v>
      </c>
      <c r="CY147" s="71">
        <v>5.9123999999999999</v>
      </c>
      <c r="CZ147" s="71">
        <v>135.43629999999999</v>
      </c>
      <c r="DA147" s="66"/>
      <c r="DB147" s="66"/>
      <c r="DC147" s="66"/>
      <c r="DD147" s="66"/>
      <c r="DE147" s="66"/>
      <c r="DF147" s="66"/>
      <c r="DG147" s="66"/>
      <c r="DH147" s="66"/>
      <c r="DI147" s="168"/>
      <c r="DJ147" s="67"/>
      <c r="DK147" s="69">
        <v>30.711985688729875</v>
      </c>
      <c r="DL147" s="69">
        <v>19.728006799830005</v>
      </c>
      <c r="DM147" s="69">
        <v>80.84899230844124</v>
      </c>
      <c r="DN147" s="69">
        <f t="shared" si="47"/>
        <v>10.98397888889987</v>
      </c>
      <c r="DO147" s="69">
        <v>26.879553557587972</v>
      </c>
      <c r="DP147" s="69">
        <v>18.469143940018128</v>
      </c>
      <c r="DQ147" s="69">
        <v>79.48678667177326</v>
      </c>
      <c r="DR147" s="69">
        <f t="shared" si="59"/>
        <v>8.4104096175698437</v>
      </c>
      <c r="DS147" s="70">
        <v>58.469700000000003</v>
      </c>
      <c r="DT147" s="70">
        <v>0.16320000000000001</v>
      </c>
      <c r="DU147" s="70">
        <f t="shared" si="56"/>
        <v>4.9688987130186976E-2</v>
      </c>
      <c r="DV147" s="177">
        <v>384.57350000000002</v>
      </c>
      <c r="DW147" s="177">
        <f t="shared" si="43"/>
        <v>86.875153650000001</v>
      </c>
      <c r="DX147" s="70">
        <v>3.2961</v>
      </c>
      <c r="DY147" s="70">
        <v>60.960900000000002</v>
      </c>
      <c r="DZ147" s="71">
        <v>8.7707999999999995</v>
      </c>
      <c r="EA147" s="71">
        <f t="shared" si="44"/>
        <v>6.8103675865389093</v>
      </c>
      <c r="EB147" s="180">
        <v>54.001899999999999</v>
      </c>
      <c r="EC147" s="180">
        <v>24.8614</v>
      </c>
      <c r="ED147" s="71">
        <v>5.7758000000000003</v>
      </c>
      <c r="EE147" s="180">
        <v>138.87569999999999</v>
      </c>
      <c r="EF147" s="66"/>
      <c r="EG147" s="66">
        <v>27.3</v>
      </c>
      <c r="EH147" s="79">
        <f t="shared" si="48"/>
        <v>30.020376425938188</v>
      </c>
      <c r="EI147" s="66"/>
      <c r="EJ147" s="79"/>
      <c r="EK147" s="66"/>
      <c r="EL147" s="168"/>
      <c r="EM147" s="67"/>
      <c r="EN147" s="78"/>
      <c r="EO147" s="78"/>
      <c r="EP147" s="78"/>
      <c r="EQ147" s="78"/>
      <c r="ER147" s="79">
        <f t="shared" si="52"/>
        <v>67.577636447464911</v>
      </c>
      <c r="ES147" s="66"/>
      <c r="ET147" s="66"/>
      <c r="EU147" s="66"/>
      <c r="EV147" s="79">
        <f t="shared" si="53"/>
        <v>95.662175633510472</v>
      </c>
      <c r="EW147" s="79">
        <f t="shared" si="55"/>
        <v>89.856992741074606</v>
      </c>
      <c r="EX147" s="66"/>
      <c r="EY147" s="66"/>
      <c r="EZ147" s="66"/>
      <c r="FA147" s="66"/>
      <c r="FB147" s="79">
        <f t="shared" si="54"/>
        <v>96.711397311351192</v>
      </c>
      <c r="FC147" s="118">
        <f t="shared" si="60"/>
        <v>95.662175633510472</v>
      </c>
      <c r="FD147" s="118">
        <f t="shared" si="61"/>
        <v>94.810582321165427</v>
      </c>
    </row>
    <row r="148" spans="1:160" x14ac:dyDescent="0.3">
      <c r="A148" s="86">
        <v>44816</v>
      </c>
      <c r="B148" s="106">
        <f t="shared" si="29"/>
        <v>117</v>
      </c>
      <c r="C148" s="96">
        <v>275.84024696121941</v>
      </c>
      <c r="D148" s="93">
        <v>45.366803722138059</v>
      </c>
      <c r="E148" s="93">
        <v>36.071254745449231</v>
      </c>
      <c r="F148" s="96">
        <f t="shared" si="62"/>
        <v>230.47344323908135</v>
      </c>
      <c r="G148" s="96">
        <v>170.46659432646101</v>
      </c>
      <c r="H148" s="96">
        <v>77.238197248084376</v>
      </c>
      <c r="I148" s="96">
        <v>51.842206051321334</v>
      </c>
      <c r="J148" s="96">
        <f t="shared" si="57"/>
        <v>93.228397078376631</v>
      </c>
      <c r="K148" s="70">
        <v>50.826900000000002</v>
      </c>
      <c r="N148" s="70">
        <v>0.1837</v>
      </c>
      <c r="O148" s="70">
        <f t="shared" si="41"/>
        <v>4.1497829999999999E-2</v>
      </c>
      <c r="P148" s="70">
        <v>4.5876999999999999</v>
      </c>
      <c r="Q148" s="70">
        <v>28.4391</v>
      </c>
      <c r="R148" s="71">
        <v>53.802999999999997</v>
      </c>
      <c r="S148" s="71">
        <f t="shared" si="26"/>
        <v>41.777056512353823</v>
      </c>
      <c r="T148" s="71">
        <v>45.211599999999997</v>
      </c>
      <c r="U148" s="71">
        <v>16.771599999999999</v>
      </c>
      <c r="V148" s="71">
        <v>4.2435</v>
      </c>
      <c r="W148" s="71">
        <v>28.570699999999999</v>
      </c>
      <c r="X148" s="72">
        <f>5*10.5</f>
        <v>52.5</v>
      </c>
      <c r="Y148" s="73"/>
      <c r="Z148" s="73"/>
      <c r="AA148" s="72">
        <f t="shared" si="40"/>
        <v>832.15034474414745</v>
      </c>
      <c r="AB148" s="72">
        <v>74</v>
      </c>
      <c r="AC148" s="72">
        <v>89</v>
      </c>
      <c r="AD148" s="72">
        <f>AVERAGE(4.89,4.92)</f>
        <v>4.9049999999999994</v>
      </c>
      <c r="AE148" s="72">
        <f>AVERAGE(4.29,4.44)</f>
        <v>4.3650000000000002</v>
      </c>
      <c r="AF148" s="72"/>
      <c r="AG148" s="168">
        <v>252.10890000000001</v>
      </c>
      <c r="AI148" s="97"/>
      <c r="AJ148" s="97"/>
      <c r="AK148" s="97"/>
      <c r="AL148" s="96"/>
      <c r="AM148" s="70">
        <v>53.5289</v>
      </c>
      <c r="AO148" s="70">
        <v>0.1656</v>
      </c>
      <c r="AP148" s="70">
        <v>24.7806</v>
      </c>
      <c r="AQ148" s="70">
        <v>2.2658</v>
      </c>
      <c r="AR148" s="71">
        <v>89.198300000000003</v>
      </c>
      <c r="AS148" s="71">
        <v>48.679000000000002</v>
      </c>
      <c r="AT148" s="71">
        <v>21.962800000000001</v>
      </c>
      <c r="AU148" s="71">
        <v>4.7210000000000001</v>
      </c>
      <c r="AV148" s="71">
        <v>55.872199999999999</v>
      </c>
      <c r="AW148" s="72"/>
      <c r="AX148" s="75"/>
      <c r="AY148" s="75"/>
      <c r="AZ148" s="75"/>
      <c r="BA148" s="75"/>
      <c r="BB148" s="72"/>
      <c r="BC148" s="72"/>
      <c r="BD148" s="72">
        <f>5*AVERAGE(4.57,4.61)</f>
        <v>22.95</v>
      </c>
      <c r="BE148" s="72"/>
      <c r="BF148" s="168">
        <v>391.01729999999998</v>
      </c>
      <c r="BH148" s="93">
        <v>119.14335327030678</v>
      </c>
      <c r="BI148" s="93">
        <v>95.459857173771908</v>
      </c>
      <c r="BJ148" s="93">
        <v>35.931081475713029</v>
      </c>
      <c r="BK148" s="88">
        <f t="shared" si="63"/>
        <v>23.683496096534867</v>
      </c>
      <c r="BL148" s="88">
        <v>110.94093938924198</v>
      </c>
      <c r="BM148" s="88">
        <v>92.869737167339537</v>
      </c>
      <c r="BN148" s="88">
        <v>45.965147453083112</v>
      </c>
      <c r="BO148" s="96">
        <f t="shared" si="58"/>
        <v>18.071202221902439</v>
      </c>
      <c r="BP148" s="70">
        <v>53.749600000000001</v>
      </c>
      <c r="BU148" s="70">
        <v>27.425699999999999</v>
      </c>
      <c r="BV148" s="70">
        <v>2.3610000000000002</v>
      </c>
      <c r="BW148" s="71">
        <v>88.763199999999998</v>
      </c>
      <c r="BX148" s="71">
        <f t="shared" si="28"/>
        <v>68.92301958287392</v>
      </c>
      <c r="BY148" s="71">
        <v>48.610700000000001</v>
      </c>
      <c r="BZ148" s="71">
        <v>22.316199999999998</v>
      </c>
      <c r="CA148" s="71">
        <v>4.6756000000000002</v>
      </c>
      <c r="CB148" s="71">
        <v>54.878</v>
      </c>
      <c r="CC148" s="72">
        <f>5*12.8</f>
        <v>64</v>
      </c>
      <c r="CD148" s="72"/>
      <c r="CE148" s="72"/>
      <c r="CF148" s="72">
        <f t="shared" si="49"/>
        <v>226.34848365156628</v>
      </c>
      <c r="CG148" s="72">
        <v>76</v>
      </c>
      <c r="CH148" s="72">
        <v>81</v>
      </c>
      <c r="CI148" s="66">
        <f>2*AVERAGE(3.96,3.95)</f>
        <v>7.91</v>
      </c>
      <c r="CJ148" s="72"/>
      <c r="CK148" s="168">
        <v>388.20769999999999</v>
      </c>
      <c r="CM148" s="69"/>
      <c r="CN148" s="69"/>
      <c r="CO148" s="69"/>
      <c r="CP148" s="69"/>
      <c r="CQ148" s="76">
        <v>53.5398</v>
      </c>
      <c r="CR148" s="76">
        <v>3.0407999999999999</v>
      </c>
      <c r="CS148" s="177">
        <v>442.85660000000001</v>
      </c>
      <c r="CT148" s="70">
        <v>15.9148</v>
      </c>
      <c r="CU148" s="70">
        <v>21.793099999999999</v>
      </c>
      <c r="CV148" s="71">
        <v>1.4625999999999999</v>
      </c>
      <c r="CW148" s="71">
        <v>50.660899999999998</v>
      </c>
      <c r="CX148" s="71">
        <v>24.418600000000001</v>
      </c>
      <c r="CY148" s="71">
        <v>5.4779999999999998</v>
      </c>
      <c r="CZ148" s="71">
        <v>124.23950000000001</v>
      </c>
      <c r="DA148" s="66"/>
      <c r="DB148" s="66"/>
      <c r="DC148" s="66"/>
      <c r="DD148" s="66"/>
      <c r="DE148" s="66"/>
      <c r="DF148" s="66"/>
      <c r="DG148" s="66">
        <f>5*AVERAGE(4.04,3.83)</f>
        <v>19.675000000000001</v>
      </c>
      <c r="DH148" s="66"/>
      <c r="DI148" s="168">
        <v>29.799130000000002</v>
      </c>
      <c r="DJ148" s="67"/>
      <c r="DK148" s="69">
        <v>11.903530773683196</v>
      </c>
      <c r="DL148" s="69">
        <v>2.2410733607444278</v>
      </c>
      <c r="DM148" s="69">
        <v>102.20967584931373</v>
      </c>
      <c r="DN148" s="69">
        <f t="shared" si="47"/>
        <v>9.6624574129387675</v>
      </c>
      <c r="DO148" s="69">
        <v>10.01705161990389</v>
      </c>
      <c r="DP148" s="69">
        <v>2.1336409326851777</v>
      </c>
      <c r="DQ148" s="69">
        <v>86.001531980084266</v>
      </c>
      <c r="DR148" s="69">
        <f t="shared" si="59"/>
        <v>7.8834106872187126</v>
      </c>
      <c r="DS148" s="70">
        <v>53.9131</v>
      </c>
      <c r="DT148" s="70">
        <v>0.36630000000000001</v>
      </c>
      <c r="DU148" s="70">
        <f t="shared" si="56"/>
        <v>0.1115262008933057</v>
      </c>
      <c r="DV148" s="177">
        <v>463.65800000000002</v>
      </c>
      <c r="DW148" s="177">
        <f t="shared" si="43"/>
        <v>104.7403422</v>
      </c>
      <c r="DX148" s="70">
        <v>15.5768</v>
      </c>
      <c r="DY148" s="70">
        <v>21.972100000000001</v>
      </c>
      <c r="DZ148" s="71">
        <v>0.2707</v>
      </c>
      <c r="EA148" s="71">
        <f t="shared" si="44"/>
        <v>0.21019365458978459</v>
      </c>
      <c r="EB148" s="180">
        <v>50.902099999999997</v>
      </c>
      <c r="EC148" s="180">
        <v>24.290600000000001</v>
      </c>
      <c r="ED148" s="71">
        <v>5.2511999999999999</v>
      </c>
      <c r="EE148" s="180">
        <v>122.10080000000001</v>
      </c>
      <c r="EF148" s="66">
        <v>0.1</v>
      </c>
      <c r="EG148" s="66"/>
      <c r="EH148" s="79">
        <f t="shared" si="48"/>
        <v>24.08767006390601</v>
      </c>
      <c r="EI148" s="66">
        <v>99</v>
      </c>
      <c r="EJ148" s="79">
        <f>AVERAGE(4.9,4.81,4.77)</f>
        <v>4.8266666666666671</v>
      </c>
      <c r="EK148" s="66"/>
      <c r="EL148" s="168">
        <v>14.54543</v>
      </c>
      <c r="EM148" s="67"/>
      <c r="EN148" s="78"/>
      <c r="EO148" s="78"/>
      <c r="EP148" s="78"/>
      <c r="EQ148" s="78"/>
      <c r="ER148" s="79">
        <f t="shared" si="52"/>
        <v>72.799568601854119</v>
      </c>
      <c r="ES148" s="66"/>
      <c r="ET148" s="66"/>
      <c r="EU148" s="66"/>
      <c r="EV148" s="79">
        <f t="shared" si="53"/>
        <v>95.807561479907505</v>
      </c>
      <c r="EW148" s="79">
        <f t="shared" si="55"/>
        <v>89.35814825206171</v>
      </c>
      <c r="EX148" s="66"/>
      <c r="EY148" s="66"/>
      <c r="EZ148" s="66"/>
      <c r="FA148" s="66"/>
      <c r="FB148" s="79">
        <f t="shared" si="54"/>
        <v>97.105370415809659</v>
      </c>
      <c r="FC148" s="118">
        <f t="shared" si="60"/>
        <v>95.807561479907505</v>
      </c>
      <c r="FD148" s="118">
        <f t="shared" si="61"/>
        <v>91.543981303688867</v>
      </c>
    </row>
    <row r="149" spans="1:160" x14ac:dyDescent="0.3">
      <c r="A149" s="86">
        <v>44819</v>
      </c>
      <c r="B149" s="106">
        <f t="shared" si="29"/>
        <v>120</v>
      </c>
      <c r="C149" s="96">
        <v>128.74834612331307</v>
      </c>
      <c r="D149" s="93">
        <v>58.804031354983195</v>
      </c>
      <c r="E149" s="93">
        <v>26.311207834602826</v>
      </c>
      <c r="F149" s="96">
        <f t="shared" si="62"/>
        <v>69.944314768329875</v>
      </c>
      <c r="G149" s="96">
        <v>99.928693225856463</v>
      </c>
      <c r="H149" s="96">
        <v>59.362280629480104</v>
      </c>
      <c r="I149" s="96">
        <v>41.937954806587513</v>
      </c>
      <c r="J149" s="96">
        <f t="shared" si="57"/>
        <v>40.56641259637636</v>
      </c>
      <c r="K149" s="70">
        <v>45.998399999999997</v>
      </c>
      <c r="N149" s="70">
        <v>0.41489999999999999</v>
      </c>
      <c r="O149" s="70">
        <f t="shared" si="41"/>
        <v>9.3725909999999996E-2</v>
      </c>
      <c r="P149" s="70">
        <v>5.6482000000000001</v>
      </c>
      <c r="Q149" s="70">
        <v>28.939399999999999</v>
      </c>
      <c r="R149" s="71">
        <v>54.172800000000002</v>
      </c>
      <c r="S149" s="71">
        <f t="shared" si="26"/>
        <v>42.064199524793068</v>
      </c>
      <c r="T149" s="71">
        <v>40.995600000000003</v>
      </c>
      <c r="U149" s="71">
        <v>16.8962</v>
      </c>
      <c r="V149" s="71">
        <v>3.9876</v>
      </c>
      <c r="W149" s="71">
        <v>27.833400000000001</v>
      </c>
      <c r="X149" s="72"/>
      <c r="Y149" s="73">
        <v>249.5</v>
      </c>
      <c r="Z149" s="73">
        <f>2*345</f>
        <v>690</v>
      </c>
      <c r="AA149" s="72">
        <f t="shared" si="40"/>
        <v>262.40036197575637</v>
      </c>
      <c r="AB149" s="72"/>
      <c r="AC149" s="72"/>
      <c r="AD149" s="72">
        <v>4.97</v>
      </c>
      <c r="AE149" s="72">
        <v>4.5199999999999996</v>
      </c>
      <c r="AF149" s="72"/>
      <c r="AI149" s="97"/>
      <c r="AJ149" s="97"/>
      <c r="AK149" s="97"/>
      <c r="AL149" s="96"/>
      <c r="AM149" s="70">
        <v>54.225900000000003</v>
      </c>
      <c r="AP149" s="70">
        <v>17.156600000000001</v>
      </c>
      <c r="AQ149" s="70">
        <v>2.3056999999999999</v>
      </c>
      <c r="AR149" s="71">
        <v>67.503500000000003</v>
      </c>
      <c r="AS149" s="71">
        <v>49.710999999999999</v>
      </c>
      <c r="AT149" s="71">
        <v>21.835000000000001</v>
      </c>
      <c r="AU149" s="71">
        <v>5.7371999999999996</v>
      </c>
      <c r="AV149" s="71">
        <v>138.45570000000001</v>
      </c>
      <c r="AW149" s="72"/>
      <c r="AX149" s="75"/>
      <c r="AY149" s="75"/>
      <c r="AZ149" s="75"/>
      <c r="BA149" s="75"/>
      <c r="BB149" s="72"/>
      <c r="BC149" s="72"/>
      <c r="BD149" s="72"/>
      <c r="BE149" s="72"/>
      <c r="BH149" s="93">
        <v>133.79730087324688</v>
      </c>
      <c r="BI149" s="93">
        <v>138.67861142217242</v>
      </c>
      <c r="BJ149" s="93">
        <v>24.047878128400438</v>
      </c>
      <c r="BK149" s="88">
        <f t="shared" si="63"/>
        <v>-4.8813105489255406</v>
      </c>
      <c r="BL149" s="88">
        <v>133.79321035498373</v>
      </c>
      <c r="BM149" s="88">
        <v>121.13701903270992</v>
      </c>
      <c r="BN149" s="88">
        <v>36.037916507085413</v>
      </c>
      <c r="BO149" s="96">
        <f t="shared" si="58"/>
        <v>12.656191322273813</v>
      </c>
      <c r="BP149" s="70">
        <v>54.2271</v>
      </c>
      <c r="BU149" s="70">
        <v>17.421700000000001</v>
      </c>
      <c r="BV149" s="70">
        <v>4.5964999999999998</v>
      </c>
      <c r="BW149" s="71">
        <v>66.387200000000007</v>
      </c>
      <c r="BX149" s="71">
        <f t="shared" si="28"/>
        <v>51.548460236361102</v>
      </c>
      <c r="BY149" s="71">
        <v>49.439599999999999</v>
      </c>
      <c r="BZ149" s="71">
        <v>21.625800000000002</v>
      </c>
      <c r="CA149" s="71">
        <v>5.6173999999999999</v>
      </c>
      <c r="CB149" s="71">
        <v>139.03729999999999</v>
      </c>
      <c r="CC149" s="72"/>
      <c r="CD149" s="72">
        <f>60.1*2</f>
        <v>120.2</v>
      </c>
      <c r="CE149" s="72">
        <v>136.5</v>
      </c>
      <c r="CF149" s="72">
        <f t="shared" si="49"/>
        <v>134.15557020334282</v>
      </c>
      <c r="CG149" s="72"/>
      <c r="CH149" s="72"/>
      <c r="CI149" s="72"/>
      <c r="CJ149" s="72"/>
      <c r="CM149" s="69"/>
      <c r="CN149" s="69"/>
      <c r="CO149" s="69"/>
      <c r="CP149" s="69"/>
      <c r="CQ149" s="76">
        <v>54.686199999999999</v>
      </c>
      <c r="CR149" s="76">
        <v>9.3085000000000004</v>
      </c>
      <c r="CS149" s="177">
        <v>300.5607</v>
      </c>
      <c r="CT149" s="70">
        <v>4.5034999999999998</v>
      </c>
      <c r="CU149" s="70">
        <v>24.3324</v>
      </c>
      <c r="CV149" s="71">
        <v>0.308</v>
      </c>
      <c r="CW149" s="71">
        <v>64.739199999999997</v>
      </c>
      <c r="CX149" s="71">
        <v>24.1906</v>
      </c>
      <c r="CY149" s="71">
        <v>6.1901999999999999</v>
      </c>
      <c r="CZ149" s="71">
        <v>156.83840000000001</v>
      </c>
      <c r="DA149" s="66"/>
      <c r="DB149" s="66"/>
      <c r="DC149" s="66"/>
      <c r="DD149" s="66"/>
      <c r="DE149" s="66"/>
      <c r="DF149" s="66"/>
      <c r="DG149" s="66"/>
      <c r="DH149" s="66"/>
      <c r="DI149" s="168"/>
      <c r="DJ149" s="67"/>
      <c r="DK149" s="69">
        <v>50.981741201376032</v>
      </c>
      <c r="DL149" s="69">
        <v>40.671892497200446</v>
      </c>
      <c r="DM149" s="69">
        <v>65.092491838955397</v>
      </c>
      <c r="DN149" s="69">
        <f t="shared" si="47"/>
        <v>10.309848704175586</v>
      </c>
      <c r="DO149" s="69">
        <v>47.378700976592775</v>
      </c>
      <c r="DP149" s="69">
        <v>38.530114525830108</v>
      </c>
      <c r="DQ149" s="69">
        <v>64.647644580620451</v>
      </c>
      <c r="DR149" s="69">
        <f t="shared" si="59"/>
        <v>8.8485864507626673</v>
      </c>
      <c r="DS149" s="70">
        <v>54.984900000000003</v>
      </c>
      <c r="DT149" s="70">
        <v>0.3201</v>
      </c>
      <c r="DU149" s="70">
        <f t="shared" si="56"/>
        <v>9.7459833213068933E-2</v>
      </c>
      <c r="DV149" s="177">
        <v>325.10629999999998</v>
      </c>
      <c r="DW149" s="177">
        <f t="shared" si="43"/>
        <v>73.441513169999993</v>
      </c>
      <c r="DX149" s="70">
        <v>3.8704000000000001</v>
      </c>
      <c r="DY149" s="70">
        <v>24.366499999999998</v>
      </c>
      <c r="DZ149" s="71">
        <v>0.2969</v>
      </c>
      <c r="EA149" s="71">
        <f t="shared" si="44"/>
        <v>0.23053748078207259</v>
      </c>
      <c r="EB149" s="180">
        <v>64.924300000000002</v>
      </c>
      <c r="EC149" s="180">
        <v>23.476199999999999</v>
      </c>
      <c r="ED149" s="71">
        <v>5.8593000000000002</v>
      </c>
      <c r="EE149" s="180">
        <v>152.82130000000001</v>
      </c>
      <c r="EF149" s="66"/>
      <c r="EG149" s="66">
        <v>25.4</v>
      </c>
      <c r="EH149" s="79">
        <f t="shared" si="48"/>
        <v>26.994003787655458</v>
      </c>
      <c r="EI149" s="66"/>
      <c r="EJ149" s="79"/>
      <c r="EK149" s="66"/>
      <c r="EL149" s="168"/>
      <c r="EM149" s="67"/>
      <c r="EN149" s="78"/>
      <c r="EO149" s="78"/>
      <c r="EP149" s="78"/>
      <c r="EQ149" s="78"/>
      <c r="ER149" s="79">
        <f t="shared" si="52"/>
        <v>48.873709931948305</v>
      </c>
      <c r="ES149" s="66"/>
      <c r="ET149" s="66"/>
      <c r="EU149" s="66"/>
      <c r="EV149" s="79">
        <f t="shared" si="53"/>
        <v>85.259918925042086</v>
      </c>
      <c r="EW149" s="79">
        <f t="shared" si="55"/>
        <v>79.878581450818629</v>
      </c>
      <c r="EX149" s="66"/>
      <c r="EY149" s="66"/>
      <c r="EZ149" s="66"/>
      <c r="FA149" s="66"/>
      <c r="FB149" s="79">
        <f t="shared" si="54"/>
        <v>89.712665186738775</v>
      </c>
      <c r="FC149" s="118">
        <f t="shared" si="60"/>
        <v>85.259918925042086</v>
      </c>
      <c r="FD149" s="118">
        <f t="shared" si="61"/>
        <v>78.187407058140806</v>
      </c>
    </row>
    <row r="150" spans="1:160" ht="16.5" customHeight="1" x14ac:dyDescent="0.3">
      <c r="A150" s="86">
        <v>44823</v>
      </c>
      <c r="B150" s="106">
        <f t="shared" si="29"/>
        <v>124</v>
      </c>
      <c r="C150" s="96">
        <v>266.64196877480816</v>
      </c>
      <c r="D150" s="93">
        <v>50.311310190369525</v>
      </c>
      <c r="E150" s="93">
        <v>25.440696409140369</v>
      </c>
      <c r="F150" s="96">
        <f t="shared" si="62"/>
        <v>216.33065858443865</v>
      </c>
      <c r="G150" s="96">
        <v>181.51604402418229</v>
      </c>
      <c r="H150" s="96">
        <v>66.955590343577498</v>
      </c>
      <c r="I150" s="96">
        <v>42.075833014170819</v>
      </c>
      <c r="J150" s="96">
        <f t="shared" si="57"/>
        <v>114.56045368060479</v>
      </c>
      <c r="K150" s="70">
        <v>50.373100000000001</v>
      </c>
      <c r="L150" s="70">
        <v>0.127</v>
      </c>
      <c r="M150" s="70">
        <f t="shared" ref="M150" si="64">L150/3.28443</f>
        <v>3.8667287779005792E-2</v>
      </c>
      <c r="N150" s="70">
        <v>1.3855</v>
      </c>
      <c r="O150" s="70">
        <f t="shared" si="41"/>
        <v>0.31298444999999997</v>
      </c>
      <c r="P150" s="70">
        <v>12.3294</v>
      </c>
      <c r="Q150" s="70">
        <v>28.894400000000001</v>
      </c>
      <c r="R150" s="71">
        <v>59.698599999999999</v>
      </c>
      <c r="S150" s="71">
        <f t="shared" si="26"/>
        <v>46.354883294768065</v>
      </c>
      <c r="T150" s="71">
        <v>48.452599999999997</v>
      </c>
      <c r="U150" s="71">
        <v>16.946300000000001</v>
      </c>
      <c r="V150" s="71">
        <v>4.4208999999999996</v>
      </c>
      <c r="W150" s="71">
        <v>30.968699999999998</v>
      </c>
      <c r="X150" s="72"/>
      <c r="Y150" s="73"/>
      <c r="Z150" s="73"/>
      <c r="AA150" s="72">
        <f t="shared" si="40"/>
        <v>781.95477344788969</v>
      </c>
      <c r="AB150" s="72"/>
      <c r="AC150" s="72">
        <v>70</v>
      </c>
      <c r="AD150" s="72"/>
      <c r="AE150" s="72">
        <f>2*3.55</f>
        <v>7.1</v>
      </c>
      <c r="AF150" s="72">
        <f>2*7.2</f>
        <v>14.4</v>
      </c>
      <c r="AG150" s="168">
        <v>257.86430000000001</v>
      </c>
      <c r="AH150" s="74">
        <v>7.08</v>
      </c>
      <c r="AI150" s="97"/>
      <c r="AJ150" s="97"/>
      <c r="AK150" s="97"/>
      <c r="AL150" s="96"/>
      <c r="AM150" s="70">
        <v>52.9129</v>
      </c>
      <c r="AO150" s="70">
        <v>0.1666</v>
      </c>
      <c r="AP150" s="70">
        <v>23.128</v>
      </c>
      <c r="AQ150" s="70">
        <v>0.71079999999999999</v>
      </c>
      <c r="AR150" s="71">
        <v>83.443700000000007</v>
      </c>
      <c r="AS150" s="71">
        <v>48.945700000000002</v>
      </c>
      <c r="AT150" s="71">
        <v>21.2774</v>
      </c>
      <c r="AU150" s="71">
        <v>4.6623999999999999</v>
      </c>
      <c r="AV150" s="71">
        <v>64.187899999999999</v>
      </c>
      <c r="AW150" s="72"/>
      <c r="AX150" s="75"/>
      <c r="AY150" s="75"/>
      <c r="AZ150" s="75"/>
      <c r="BA150" s="75"/>
      <c r="BB150" s="72"/>
      <c r="BC150" s="72">
        <v>128</v>
      </c>
      <c r="BD150" s="72">
        <f>5*4.52</f>
        <v>22.599999999999998</v>
      </c>
      <c r="BE150" s="72">
        <f>5*5.2</f>
        <v>26</v>
      </c>
      <c r="BF150" s="168">
        <v>461.98099999999999</v>
      </c>
      <c r="BG150" s="74">
        <v>6.7</v>
      </c>
      <c r="BH150" s="93">
        <v>123.1754432389521</v>
      </c>
      <c r="BI150" s="93">
        <v>108.12094064949608</v>
      </c>
      <c r="BJ150" s="93">
        <v>31.969532100108811</v>
      </c>
      <c r="BK150" s="88">
        <f t="shared" si="63"/>
        <v>15.054502589456021</v>
      </c>
      <c r="BL150" s="88">
        <v>109.49000155014727</v>
      </c>
      <c r="BM150" s="88">
        <v>91.297684765592834</v>
      </c>
      <c r="BN150" s="88">
        <v>44.086556874760625</v>
      </c>
      <c r="BO150" s="96">
        <f t="shared" si="58"/>
        <v>18.192316784554436</v>
      </c>
      <c r="BP150" s="70">
        <v>52.765799999999999</v>
      </c>
      <c r="BU150" s="70">
        <v>24.139199999999999</v>
      </c>
      <c r="BV150" s="70">
        <v>0.53059999999999996</v>
      </c>
      <c r="BW150" s="71">
        <v>82.672399999999996</v>
      </c>
      <c r="BX150" s="71">
        <f t="shared" si="28"/>
        <v>64.193623530507978</v>
      </c>
      <c r="BY150" s="71">
        <v>48.692300000000003</v>
      </c>
      <c r="BZ150" s="71">
        <v>21.365500000000001</v>
      </c>
      <c r="CA150" s="71">
        <v>4.5422000000000002</v>
      </c>
      <c r="CB150" s="71">
        <v>62.246600000000001</v>
      </c>
      <c r="CC150" s="72"/>
      <c r="CD150" s="72"/>
      <c r="CE150" s="72"/>
      <c r="CF150" s="72">
        <f t="shared" si="49"/>
        <v>198.49840710746929</v>
      </c>
      <c r="CG150" s="72"/>
      <c r="CH150" s="72">
        <v>80</v>
      </c>
      <c r="CI150" s="72">
        <f>2*4.76</f>
        <v>9.52</v>
      </c>
      <c r="CJ150" s="72">
        <f>12.2*2</f>
        <v>24.4</v>
      </c>
      <c r="CK150" s="168">
        <v>404.35090000000002</v>
      </c>
      <c r="CL150" s="74">
        <v>6.7</v>
      </c>
      <c r="CM150" s="69"/>
      <c r="CN150" s="69"/>
      <c r="CO150" s="69"/>
      <c r="CP150" s="69"/>
      <c r="CQ150" s="76">
        <v>52.814</v>
      </c>
      <c r="CR150" s="76">
        <v>5.4800000000000001E-2</v>
      </c>
      <c r="CS150" s="177">
        <v>346.59769999999997</v>
      </c>
      <c r="CT150" s="70">
        <v>16.5425</v>
      </c>
      <c r="CU150" s="70">
        <v>21.988900000000001</v>
      </c>
      <c r="CV150" s="71">
        <v>0.3105</v>
      </c>
      <c r="CW150" s="71">
        <v>50.442500000000003</v>
      </c>
      <c r="CX150" s="71">
        <v>23.131499999999999</v>
      </c>
      <c r="CY150" s="71">
        <v>5.2050999999999998</v>
      </c>
      <c r="CZ150" s="71">
        <v>98.051699999999997</v>
      </c>
      <c r="DA150" s="66"/>
      <c r="DB150" s="66"/>
      <c r="DC150" s="66"/>
      <c r="DD150" s="66"/>
      <c r="DE150" s="66"/>
      <c r="DF150" s="66">
        <v>199</v>
      </c>
      <c r="DG150" s="66">
        <f>5*2.46</f>
        <v>12.3</v>
      </c>
      <c r="DH150" s="66">
        <f>5*9</f>
        <v>45</v>
      </c>
      <c r="DI150" s="168">
        <v>28.107679999999998</v>
      </c>
      <c r="DJ150" s="67">
        <v>7</v>
      </c>
      <c r="DK150" s="69">
        <v>14.178354061921144</v>
      </c>
      <c r="DL150" s="69">
        <v>4.2669652855543108</v>
      </c>
      <c r="DM150" s="69">
        <v>72.208922742110985</v>
      </c>
      <c r="DN150" s="69">
        <f t="shared" si="47"/>
        <v>9.9113887763668345</v>
      </c>
      <c r="DO150" s="69">
        <v>11.802821268020461</v>
      </c>
      <c r="DP150" s="69">
        <v>3.9597923704375053</v>
      </c>
      <c r="DQ150" s="69">
        <v>67.043278437380309</v>
      </c>
      <c r="DR150" s="69">
        <f t="shared" si="59"/>
        <v>7.8430288975829558</v>
      </c>
      <c r="DS150" s="70">
        <v>52.7746</v>
      </c>
      <c r="DT150" s="70">
        <v>0.47699999999999998</v>
      </c>
      <c r="DU150" s="70">
        <f t="shared" si="56"/>
        <v>0.1452306792959509</v>
      </c>
      <c r="DV150" s="177">
        <v>343.28390000000002</v>
      </c>
      <c r="DW150" s="177">
        <f t="shared" si="43"/>
        <v>77.547833010000005</v>
      </c>
      <c r="DX150" s="70">
        <v>15.2447</v>
      </c>
      <c r="DY150" s="70">
        <v>21.668199999999999</v>
      </c>
      <c r="DZ150" s="71">
        <v>0.25440000000000002</v>
      </c>
      <c r="EA150" s="71">
        <f t="shared" si="44"/>
        <v>0.19753699936328484</v>
      </c>
      <c r="EB150" s="180">
        <v>50.347499999999997</v>
      </c>
      <c r="EC150" s="180">
        <v>23.363</v>
      </c>
      <c r="ED150" s="71">
        <v>4.9767999999999999</v>
      </c>
      <c r="EE150" s="180">
        <v>96.035499999999999</v>
      </c>
      <c r="EF150" s="66"/>
      <c r="EG150" s="66"/>
      <c r="EH150" s="79">
        <f t="shared" si="48"/>
        <v>25.20519763374363</v>
      </c>
      <c r="EI150" s="66">
        <v>75</v>
      </c>
      <c r="EJ150" s="79">
        <f>2*2.65</f>
        <v>5.3</v>
      </c>
      <c r="EK150" s="66">
        <f>2*8.1</f>
        <v>16.2</v>
      </c>
      <c r="EL150" s="168">
        <v>26.462050000000001</v>
      </c>
      <c r="EM150" s="67">
        <v>7</v>
      </c>
      <c r="EN150" s="78"/>
      <c r="EO150" s="78"/>
      <c r="EP150" s="78"/>
      <c r="EQ150" s="78"/>
      <c r="ER150" s="79">
        <f t="shared" si="52"/>
        <v>74.615103859239056</v>
      </c>
      <c r="ES150" s="66"/>
      <c r="ET150" s="66"/>
      <c r="EU150" s="66"/>
      <c r="EV150" s="79">
        <f t="shared" si="53"/>
        <v>95.418407709188287</v>
      </c>
      <c r="EW150" s="79">
        <f t="shared" si="55"/>
        <v>87.302065542471951</v>
      </c>
      <c r="EX150" s="66"/>
      <c r="EY150" s="66"/>
      <c r="EZ150" s="66"/>
      <c r="FA150" s="66"/>
      <c r="FB150" s="79">
        <f t="shared" si="54"/>
        <v>96.776642525934605</v>
      </c>
      <c r="FC150" s="118">
        <f t="shared" si="60"/>
        <v>95.418407709188287</v>
      </c>
      <c r="FD150" s="118">
        <f t="shared" si="61"/>
        <v>93.153807753372405</v>
      </c>
    </row>
    <row r="151" spans="1:160" x14ac:dyDescent="0.3">
      <c r="A151" s="86"/>
      <c r="B151" s="106"/>
      <c r="C151" s="96"/>
      <c r="D151" s="93"/>
      <c r="E151" s="93"/>
      <c r="F151" s="96"/>
      <c r="G151" s="96"/>
      <c r="H151" s="96"/>
      <c r="I151" s="96"/>
      <c r="J151" s="96"/>
      <c r="X151" s="72"/>
      <c r="Y151" s="73"/>
      <c r="Z151" s="73"/>
      <c r="AA151" s="72"/>
      <c r="AB151" s="72"/>
      <c r="AC151" s="72"/>
      <c r="AD151" s="72"/>
      <c r="AE151" s="72"/>
      <c r="AF151" s="72"/>
      <c r="AI151" s="97"/>
      <c r="AJ151" s="97"/>
      <c r="AK151" s="97"/>
      <c r="AL151" s="97"/>
      <c r="AW151" s="72"/>
      <c r="AX151" s="72"/>
      <c r="AY151" s="72"/>
      <c r="AZ151" s="72"/>
      <c r="BA151" s="72"/>
      <c r="BB151" s="72"/>
      <c r="BC151" s="72"/>
      <c r="BD151" s="72"/>
      <c r="BE151" s="72"/>
      <c r="BH151" s="93"/>
      <c r="BI151" s="93"/>
      <c r="BJ151" s="93"/>
      <c r="BK151" s="93"/>
      <c r="BL151" s="93"/>
      <c r="BM151" s="93"/>
      <c r="BN151" s="93"/>
      <c r="BO151" s="93"/>
      <c r="CC151" s="72"/>
      <c r="CD151" s="72"/>
      <c r="CE151" s="72"/>
      <c r="CF151" s="72"/>
      <c r="CG151" s="72"/>
      <c r="CH151" s="72"/>
      <c r="CI151" s="72"/>
      <c r="CJ151" s="72"/>
      <c r="CM151" s="69"/>
      <c r="CN151" s="69"/>
      <c r="CO151" s="69"/>
      <c r="CP151" s="69"/>
      <c r="CQ151" s="76"/>
      <c r="CR151" s="76"/>
      <c r="CS151" s="177"/>
      <c r="CT151" s="76"/>
      <c r="CU151" s="76"/>
      <c r="CV151" s="71"/>
      <c r="CW151" s="71"/>
      <c r="CX151" s="71"/>
      <c r="CY151" s="71"/>
      <c r="CZ151" s="71"/>
      <c r="DA151" s="72"/>
      <c r="DB151" s="72"/>
      <c r="DC151" s="72"/>
      <c r="DD151" s="72"/>
      <c r="DE151" s="72"/>
      <c r="DF151" s="72"/>
      <c r="DG151" s="72"/>
      <c r="DH151" s="72"/>
      <c r="DI151" s="168"/>
      <c r="DJ151" s="67"/>
      <c r="DK151" s="69"/>
      <c r="DL151" s="69"/>
      <c r="DM151" s="69"/>
      <c r="DN151" s="69"/>
      <c r="DO151" s="69"/>
      <c r="DP151" s="69"/>
      <c r="DQ151" s="69"/>
      <c r="DR151" s="69"/>
      <c r="DS151" s="70"/>
      <c r="DT151" s="70"/>
      <c r="DU151" s="70"/>
      <c r="DV151" s="177"/>
      <c r="DW151" s="70"/>
      <c r="DX151" s="70"/>
      <c r="DY151" s="70"/>
      <c r="DZ151" s="71"/>
      <c r="EA151" s="71"/>
      <c r="EB151" s="71"/>
      <c r="EC151" s="180"/>
      <c r="ED151" s="71"/>
      <c r="EE151" s="180"/>
      <c r="EF151" s="72"/>
      <c r="EG151" s="72"/>
      <c r="EH151" s="72"/>
      <c r="EI151" s="72"/>
      <c r="EJ151" s="72"/>
      <c r="EK151" s="72"/>
      <c r="EL151" s="168"/>
      <c r="EM151" s="67"/>
      <c r="EN151" s="78"/>
      <c r="EO151" s="78"/>
      <c r="EP151" s="78"/>
      <c r="EQ151" s="78"/>
      <c r="ER151" s="79"/>
      <c r="ES151" s="66"/>
      <c r="ET151" s="66"/>
      <c r="EU151" s="66"/>
      <c r="EV151" s="79"/>
      <c r="EW151" s="66"/>
      <c r="EX151" s="66"/>
      <c r="EY151" s="66"/>
      <c r="EZ151" s="66"/>
      <c r="FA151" s="66"/>
      <c r="FB151" s="66"/>
    </row>
    <row r="152" spans="1:160" x14ac:dyDescent="0.3">
      <c r="A152" s="86"/>
      <c r="B152" s="106"/>
      <c r="C152" s="96"/>
      <c r="D152" s="93"/>
      <c r="E152" s="93"/>
      <c r="F152" s="96"/>
      <c r="G152" s="96"/>
      <c r="H152" s="96"/>
      <c r="I152" s="96"/>
      <c r="J152" s="96"/>
      <c r="X152" s="72"/>
      <c r="Y152" s="73"/>
      <c r="Z152" s="73"/>
      <c r="AA152" s="72"/>
      <c r="AB152" s="72"/>
      <c r="AC152" s="72"/>
      <c r="AD152" s="72"/>
      <c r="AE152" s="72"/>
      <c r="AF152" s="72"/>
      <c r="AI152" s="97"/>
      <c r="AJ152" s="97"/>
      <c r="AK152" s="97"/>
      <c r="AL152" s="97"/>
      <c r="AW152" s="72"/>
      <c r="AX152" s="72"/>
      <c r="AY152" s="72"/>
      <c r="AZ152" s="72"/>
      <c r="BA152" s="72"/>
      <c r="BB152" s="72"/>
      <c r="BC152" s="72"/>
      <c r="BD152" s="72"/>
      <c r="BE152" s="72"/>
      <c r="BH152" s="93"/>
      <c r="BI152" s="93"/>
      <c r="BJ152" s="93"/>
      <c r="BK152" s="93"/>
      <c r="BL152" s="93"/>
      <c r="BM152" s="93"/>
      <c r="BN152" s="93"/>
      <c r="BO152" s="93"/>
      <c r="CC152" s="72"/>
      <c r="CD152" s="72"/>
      <c r="CE152" s="72"/>
      <c r="CF152" s="72"/>
      <c r="CG152" s="72"/>
      <c r="CH152" s="72"/>
      <c r="CI152" s="72"/>
      <c r="CJ152" s="72"/>
      <c r="CM152" s="69"/>
      <c r="CN152" s="69"/>
      <c r="CO152" s="69"/>
      <c r="CP152" s="69"/>
      <c r="CQ152" s="76"/>
      <c r="CR152" s="76"/>
      <c r="CS152" s="177"/>
      <c r="CT152" s="76"/>
      <c r="CU152" s="76"/>
      <c r="CV152" s="71"/>
      <c r="CW152" s="71"/>
      <c r="CX152" s="71"/>
      <c r="CY152" s="71"/>
      <c r="CZ152" s="71"/>
      <c r="DA152" s="72"/>
      <c r="DB152" s="72"/>
      <c r="DC152" s="72"/>
      <c r="DD152" s="72"/>
      <c r="DE152" s="72"/>
      <c r="DF152" s="72"/>
      <c r="DG152" s="72"/>
      <c r="DH152" s="72"/>
      <c r="DI152" s="168"/>
      <c r="DJ152" s="67"/>
      <c r="DK152" s="69"/>
      <c r="DL152" s="69"/>
      <c r="DM152" s="69"/>
      <c r="DN152" s="69"/>
      <c r="DO152" s="69"/>
      <c r="DP152" s="69"/>
      <c r="DQ152" s="69"/>
      <c r="DR152" s="69"/>
      <c r="DS152" s="70"/>
      <c r="DT152" s="70"/>
      <c r="DU152" s="70"/>
      <c r="DV152" s="177"/>
      <c r="DW152" s="70"/>
      <c r="DX152" s="70"/>
      <c r="DY152" s="70"/>
      <c r="DZ152" s="71"/>
      <c r="EA152" s="71"/>
      <c r="EB152" s="71"/>
      <c r="EC152" s="180"/>
      <c r="ED152" s="71"/>
      <c r="EE152" s="180"/>
      <c r="EF152" s="72"/>
      <c r="EG152" s="72"/>
      <c r="EH152" s="72"/>
      <c r="EI152" s="72"/>
      <c r="EJ152" s="72"/>
      <c r="EK152" s="72"/>
      <c r="EL152" s="168"/>
      <c r="EM152" s="67"/>
      <c r="EN152" s="78"/>
      <c r="EO152" s="78"/>
      <c r="EP152" s="78"/>
      <c r="EQ152" s="78"/>
      <c r="ER152" s="79"/>
      <c r="ES152" s="66"/>
      <c r="ET152" s="66"/>
      <c r="EU152" s="66"/>
      <c r="EV152" s="79"/>
      <c r="EW152" s="66"/>
      <c r="EX152" s="66"/>
      <c r="EY152" s="66"/>
      <c r="EZ152" s="66"/>
      <c r="FA152" s="66"/>
      <c r="FB152" s="66"/>
    </row>
    <row r="153" spans="1:160" x14ac:dyDescent="0.3">
      <c r="A153" s="86"/>
      <c r="B153" s="106"/>
      <c r="C153" s="96"/>
      <c r="D153" s="93"/>
      <c r="E153" s="93"/>
      <c r="F153" s="96"/>
      <c r="G153" s="96"/>
      <c r="H153" s="96"/>
      <c r="I153" s="96"/>
      <c r="J153" s="96"/>
      <c r="X153" s="72"/>
      <c r="Y153" s="73"/>
      <c r="Z153" s="73"/>
      <c r="AA153" s="72"/>
      <c r="AB153" s="72"/>
      <c r="AC153" s="72"/>
      <c r="AD153" s="72"/>
      <c r="AE153" s="72"/>
      <c r="AF153" s="72"/>
      <c r="AI153" s="97"/>
      <c r="AJ153" s="97"/>
      <c r="AK153" s="97"/>
      <c r="AL153" s="97"/>
      <c r="AW153" s="72"/>
      <c r="AX153" s="72"/>
      <c r="AY153" s="72"/>
      <c r="AZ153" s="72"/>
      <c r="BA153" s="72"/>
      <c r="BB153" s="72"/>
      <c r="BC153" s="72"/>
      <c r="BD153" s="72"/>
      <c r="BE153" s="72"/>
      <c r="BH153" s="93"/>
      <c r="BI153" s="93"/>
      <c r="BJ153" s="93"/>
      <c r="BK153" s="93"/>
      <c r="BL153" s="93"/>
      <c r="BM153" s="93"/>
      <c r="BN153" s="93"/>
      <c r="BO153" s="93"/>
      <c r="CC153" s="72"/>
      <c r="CD153" s="72"/>
      <c r="CE153" s="72"/>
      <c r="CF153" s="72"/>
      <c r="CG153" s="72"/>
      <c r="CH153" s="72"/>
      <c r="CI153" s="72"/>
      <c r="CJ153" s="72"/>
      <c r="CM153" s="69"/>
      <c r="CN153" s="69"/>
      <c r="CO153" s="69"/>
      <c r="CP153" s="69"/>
      <c r="CQ153" s="76"/>
      <c r="CR153" s="76"/>
      <c r="CS153" s="177"/>
      <c r="CT153" s="76"/>
      <c r="CU153" s="76"/>
      <c r="CV153" s="71"/>
      <c r="CW153" s="71"/>
      <c r="CX153" s="71"/>
      <c r="CY153" s="71"/>
      <c r="CZ153" s="71"/>
      <c r="DA153" s="72"/>
      <c r="DB153" s="72"/>
      <c r="DC153" s="72"/>
      <c r="DD153" s="72"/>
      <c r="DE153" s="72"/>
      <c r="DF153" s="72"/>
      <c r="DG153" s="72"/>
      <c r="DH153" s="72"/>
      <c r="DI153" s="168"/>
      <c r="DJ153" s="67"/>
      <c r="DK153" s="69"/>
      <c r="DL153" s="69"/>
      <c r="DM153" s="69"/>
      <c r="DN153" s="69"/>
      <c r="DO153" s="69"/>
      <c r="DP153" s="69"/>
      <c r="DQ153" s="69"/>
      <c r="DR153" s="69"/>
      <c r="DS153" s="70"/>
      <c r="DT153" s="70"/>
      <c r="DU153" s="70"/>
      <c r="DV153" s="177"/>
      <c r="DW153" s="70"/>
      <c r="DX153" s="70"/>
      <c r="DY153" s="70"/>
      <c r="DZ153" s="71"/>
      <c r="EA153" s="71"/>
      <c r="EB153" s="71"/>
      <c r="EC153" s="180"/>
      <c r="ED153" s="71"/>
      <c r="EE153" s="180"/>
      <c r="EF153" s="72"/>
      <c r="EG153" s="72"/>
      <c r="EH153" s="72"/>
      <c r="EI153" s="72"/>
      <c r="EJ153" s="72"/>
      <c r="EK153" s="72"/>
      <c r="EL153" s="168"/>
      <c r="EM153" s="67"/>
      <c r="EN153" s="78"/>
      <c r="EO153" s="78"/>
      <c r="EP153" s="78"/>
      <c r="EQ153" s="78"/>
      <c r="ER153" s="79"/>
      <c r="ES153" s="66"/>
      <c r="ET153" s="66"/>
      <c r="EU153" s="66"/>
      <c r="EV153" s="79"/>
      <c r="EW153" s="66"/>
      <c r="EX153" s="66"/>
      <c r="EY153" s="66"/>
      <c r="EZ153" s="66"/>
      <c r="FA153" s="66"/>
      <c r="FB153" s="66"/>
    </row>
    <row r="154" spans="1:160" x14ac:dyDescent="0.3">
      <c r="A154" s="86"/>
      <c r="B154" s="106"/>
      <c r="C154" s="96"/>
      <c r="D154" s="93"/>
      <c r="E154" s="93"/>
      <c r="F154" s="96"/>
      <c r="G154" s="96"/>
      <c r="H154" s="96"/>
      <c r="I154" s="96"/>
      <c r="J154" s="96"/>
      <c r="X154" s="72"/>
      <c r="Y154" s="73"/>
      <c r="Z154" s="73"/>
      <c r="AA154" s="72"/>
      <c r="AB154" s="72"/>
      <c r="AC154" s="72"/>
      <c r="AD154" s="72"/>
      <c r="AE154" s="72"/>
      <c r="AF154" s="72"/>
      <c r="AI154" s="97"/>
      <c r="AJ154" s="97"/>
      <c r="AK154" s="97"/>
      <c r="AL154" s="97"/>
      <c r="AW154" s="72"/>
      <c r="AX154" s="72"/>
      <c r="AY154" s="72"/>
      <c r="AZ154" s="72"/>
      <c r="BA154" s="72"/>
      <c r="BB154" s="72"/>
      <c r="BC154" s="72"/>
      <c r="BD154" s="72"/>
      <c r="BE154" s="72"/>
      <c r="BH154" s="93"/>
      <c r="BI154" s="93"/>
      <c r="BJ154" s="93"/>
      <c r="BK154" s="93"/>
      <c r="BL154" s="93"/>
      <c r="BM154" s="93"/>
      <c r="BN154" s="93"/>
      <c r="BO154" s="93"/>
      <c r="CC154" s="72"/>
      <c r="CD154" s="72"/>
      <c r="CE154" s="72"/>
      <c r="CF154" s="72"/>
      <c r="CG154" s="72"/>
      <c r="CH154" s="72"/>
      <c r="CI154" s="72"/>
      <c r="CJ154" s="72"/>
      <c r="CM154" s="69"/>
      <c r="CN154" s="69"/>
      <c r="CO154" s="69"/>
      <c r="CP154" s="69"/>
      <c r="CQ154" s="76"/>
      <c r="CR154" s="76"/>
      <c r="CS154" s="177"/>
      <c r="CT154" s="76"/>
      <c r="CU154" s="76"/>
      <c r="CV154" s="71"/>
      <c r="CW154" s="71"/>
      <c r="CX154" s="71"/>
      <c r="CY154" s="71"/>
      <c r="CZ154" s="71"/>
      <c r="DA154" s="72"/>
      <c r="DB154" s="72"/>
      <c r="DC154" s="72"/>
      <c r="DD154" s="72"/>
      <c r="DE154" s="72"/>
      <c r="DF154" s="72"/>
      <c r="DG154" s="72"/>
      <c r="DH154" s="72"/>
      <c r="DI154" s="168"/>
      <c r="DJ154" s="67"/>
      <c r="DK154" s="69"/>
      <c r="DL154" s="69"/>
      <c r="DM154" s="69"/>
      <c r="DN154" s="69"/>
      <c r="DO154" s="69"/>
      <c r="DP154" s="69"/>
      <c r="DQ154" s="69"/>
      <c r="DR154" s="69"/>
      <c r="DS154" s="70"/>
      <c r="DT154" s="70"/>
      <c r="DU154" s="70"/>
      <c r="DV154" s="177"/>
      <c r="DW154" s="70"/>
      <c r="DX154" s="70"/>
      <c r="DY154" s="70"/>
      <c r="DZ154" s="71"/>
      <c r="EA154" s="71"/>
      <c r="EB154" s="71"/>
      <c r="EC154" s="180"/>
      <c r="ED154" s="71"/>
      <c r="EE154" s="180"/>
      <c r="EF154" s="72"/>
      <c r="EG154" s="72"/>
      <c r="EH154" s="72"/>
      <c r="EI154" s="72"/>
      <c r="EJ154" s="72"/>
      <c r="EK154" s="72"/>
      <c r="EL154" s="168"/>
      <c r="EM154" s="67"/>
      <c r="EN154" s="78"/>
      <c r="EO154" s="78"/>
      <c r="EP154" s="78"/>
      <c r="EQ154" s="78"/>
      <c r="ER154" s="79"/>
      <c r="ES154" s="66"/>
      <c r="ET154" s="66"/>
      <c r="EU154" s="66"/>
      <c r="EV154" s="79"/>
      <c r="EW154" s="66"/>
      <c r="EX154" s="66"/>
      <c r="EY154" s="66"/>
      <c r="EZ154" s="66"/>
      <c r="FA154" s="66"/>
      <c r="FB154" s="66"/>
    </row>
    <row r="155" spans="1:160" x14ac:dyDescent="0.3">
      <c r="A155" s="86"/>
      <c r="B155" s="106"/>
      <c r="C155" s="96"/>
      <c r="D155" s="93"/>
      <c r="E155" s="93"/>
      <c r="F155" s="96"/>
      <c r="G155" s="96"/>
      <c r="H155" s="96"/>
      <c r="I155" s="96"/>
      <c r="J155" s="96"/>
      <c r="X155" s="72"/>
      <c r="Y155" s="73"/>
      <c r="Z155" s="73"/>
      <c r="AA155" s="72"/>
      <c r="AB155" s="72"/>
      <c r="AC155" s="72"/>
      <c r="AD155" s="72"/>
      <c r="AE155" s="72"/>
      <c r="AF155" s="72"/>
      <c r="AI155" s="97"/>
      <c r="AJ155" s="97"/>
      <c r="AK155" s="97"/>
      <c r="AL155" s="97"/>
      <c r="AW155" s="72"/>
      <c r="AX155" s="72"/>
      <c r="AY155" s="72"/>
      <c r="AZ155" s="72"/>
      <c r="BA155" s="72"/>
      <c r="BB155" s="72"/>
      <c r="BC155" s="72"/>
      <c r="BD155" s="72"/>
      <c r="BE155" s="72"/>
      <c r="BH155" s="93"/>
      <c r="BI155" s="93"/>
      <c r="BJ155" s="93"/>
      <c r="BK155" s="93"/>
      <c r="BL155" s="93"/>
      <c r="BM155" s="93"/>
      <c r="BN155" s="93"/>
      <c r="BO155" s="93"/>
      <c r="CC155" s="72"/>
      <c r="CD155" s="72"/>
      <c r="CE155" s="72"/>
      <c r="CF155" s="72"/>
      <c r="CG155" s="72"/>
      <c r="CH155" s="72"/>
      <c r="CI155" s="72"/>
      <c r="CJ155" s="72"/>
      <c r="CM155" s="69"/>
      <c r="CN155" s="69"/>
      <c r="CO155" s="69"/>
      <c r="CP155" s="69"/>
      <c r="CQ155" s="76"/>
      <c r="CR155" s="76"/>
      <c r="CS155" s="177"/>
      <c r="CT155" s="76"/>
      <c r="CU155" s="76"/>
      <c r="CV155" s="71"/>
      <c r="CW155" s="71"/>
      <c r="CX155" s="71"/>
      <c r="CY155" s="71"/>
      <c r="CZ155" s="71"/>
      <c r="DA155" s="72"/>
      <c r="DB155" s="72"/>
      <c r="DC155" s="72"/>
      <c r="DD155" s="72"/>
      <c r="DE155" s="72"/>
      <c r="DF155" s="72"/>
      <c r="DG155" s="72"/>
      <c r="DH155" s="72"/>
      <c r="DI155" s="168"/>
      <c r="DJ155" s="67"/>
      <c r="DK155" s="69"/>
      <c r="DL155" s="69"/>
      <c r="DM155" s="69"/>
      <c r="DN155" s="69"/>
      <c r="DO155" s="69"/>
      <c r="DP155" s="69"/>
      <c r="DQ155" s="69"/>
      <c r="DR155" s="69"/>
      <c r="DS155" s="70"/>
      <c r="DT155" s="70"/>
      <c r="DU155" s="70"/>
      <c r="DV155" s="177"/>
      <c r="DW155" s="70"/>
      <c r="DX155" s="70"/>
      <c r="DY155" s="70"/>
      <c r="DZ155" s="71"/>
      <c r="EA155" s="71"/>
      <c r="EB155" s="71"/>
      <c r="EC155" s="180"/>
      <c r="ED155" s="71"/>
      <c r="EE155" s="180"/>
      <c r="EF155" s="72"/>
      <c r="EG155" s="72"/>
      <c r="EH155" s="72"/>
      <c r="EI155" s="72"/>
      <c r="EJ155" s="72"/>
      <c r="EK155" s="72"/>
      <c r="EL155" s="168"/>
      <c r="EM155" s="67"/>
      <c r="EN155" s="78"/>
      <c r="EO155" s="78"/>
      <c r="EP155" s="78"/>
      <c r="EQ155" s="78"/>
      <c r="ER155" s="79"/>
      <c r="ES155" s="66"/>
      <c r="ET155" s="66"/>
      <c r="EU155" s="66"/>
      <c r="EV155" s="79"/>
      <c r="EW155" s="66"/>
      <c r="EX155" s="66"/>
      <c r="EY155" s="66"/>
      <c r="EZ155" s="66"/>
      <c r="FA155" s="66"/>
      <c r="FB155" s="66"/>
    </row>
    <row r="156" spans="1:160" x14ac:dyDescent="0.3">
      <c r="A156" s="86"/>
      <c r="B156" s="106"/>
      <c r="C156" s="96"/>
      <c r="D156" s="93"/>
      <c r="E156" s="93"/>
      <c r="F156" s="96"/>
      <c r="G156" s="96"/>
      <c r="H156" s="96"/>
      <c r="I156" s="96"/>
      <c r="J156" s="96"/>
      <c r="X156" s="72"/>
      <c r="Y156" s="73"/>
      <c r="Z156" s="73"/>
      <c r="AA156" s="72"/>
      <c r="AB156" s="72"/>
      <c r="AC156" s="72"/>
      <c r="AD156" s="72"/>
      <c r="AE156" s="72"/>
      <c r="AF156" s="72"/>
      <c r="AI156" s="97"/>
      <c r="AJ156" s="97"/>
      <c r="AK156" s="97"/>
      <c r="AL156" s="97"/>
      <c r="AW156" s="72"/>
      <c r="AX156" s="72"/>
      <c r="AY156" s="72"/>
      <c r="AZ156" s="72"/>
      <c r="BA156" s="72"/>
      <c r="BB156" s="72"/>
      <c r="BC156" s="72"/>
      <c r="BD156" s="72"/>
      <c r="BE156" s="72"/>
      <c r="BH156" s="93"/>
      <c r="BI156" s="93"/>
      <c r="BJ156" s="93"/>
      <c r="BK156" s="93"/>
      <c r="BL156" s="93"/>
      <c r="BM156" s="93"/>
      <c r="BN156" s="93"/>
      <c r="BO156" s="93"/>
      <c r="CC156" s="72"/>
      <c r="CD156" s="72"/>
      <c r="CE156" s="72"/>
      <c r="CF156" s="72"/>
      <c r="CG156" s="72"/>
      <c r="CH156" s="72"/>
      <c r="CI156" s="72"/>
      <c r="CJ156" s="72"/>
      <c r="CM156" s="69"/>
      <c r="CN156" s="69"/>
      <c r="CO156" s="69"/>
      <c r="CP156" s="69"/>
      <c r="CQ156" s="76"/>
      <c r="CR156" s="76"/>
      <c r="CS156" s="177"/>
      <c r="CT156" s="76"/>
      <c r="CU156" s="76"/>
      <c r="CV156" s="71"/>
      <c r="CW156" s="71"/>
      <c r="CX156" s="71"/>
      <c r="CY156" s="71"/>
      <c r="CZ156" s="71"/>
      <c r="DA156" s="72"/>
      <c r="DB156" s="72"/>
      <c r="DC156" s="72"/>
      <c r="DD156" s="72"/>
      <c r="DE156" s="72"/>
      <c r="DF156" s="72"/>
      <c r="DG156" s="72"/>
      <c r="DH156" s="72"/>
      <c r="DI156" s="168"/>
      <c r="DJ156" s="67"/>
      <c r="DK156" s="69"/>
      <c r="DL156" s="69"/>
      <c r="DM156" s="69"/>
      <c r="DN156" s="69"/>
      <c r="DO156" s="69"/>
      <c r="DP156" s="69"/>
      <c r="DQ156" s="69"/>
      <c r="DR156" s="69"/>
      <c r="DS156" s="70"/>
      <c r="DT156" s="70"/>
      <c r="DU156" s="70"/>
      <c r="DV156" s="177"/>
      <c r="DW156" s="70"/>
      <c r="DX156" s="70"/>
      <c r="DY156" s="70"/>
      <c r="DZ156" s="71"/>
      <c r="EA156" s="71"/>
      <c r="EB156" s="71"/>
      <c r="EC156" s="180"/>
      <c r="ED156" s="71"/>
      <c r="EE156" s="180"/>
      <c r="EF156" s="72"/>
      <c r="EG156" s="72"/>
      <c r="EH156" s="72"/>
      <c r="EI156" s="72"/>
      <c r="EJ156" s="72"/>
      <c r="EK156" s="72"/>
      <c r="EL156" s="168"/>
      <c r="EM156" s="67"/>
      <c r="EN156" s="78"/>
      <c r="EO156" s="78"/>
      <c r="EP156" s="78"/>
      <c r="EQ156" s="78"/>
      <c r="ER156" s="79"/>
      <c r="ES156" s="66"/>
      <c r="ET156" s="66"/>
      <c r="EU156" s="66"/>
      <c r="EV156" s="79"/>
      <c r="EW156" s="66"/>
      <c r="EX156" s="66"/>
      <c r="EY156" s="66"/>
      <c r="EZ156" s="66"/>
      <c r="FA156" s="66"/>
      <c r="FB156" s="66"/>
    </row>
    <row r="157" spans="1:160" x14ac:dyDescent="0.3">
      <c r="A157" s="86"/>
      <c r="B157" s="86"/>
      <c r="C157" s="96"/>
      <c r="D157" s="93"/>
      <c r="E157" s="93"/>
      <c r="F157" s="96"/>
      <c r="G157" s="96"/>
      <c r="H157" s="96"/>
      <c r="I157" s="96"/>
      <c r="J157" s="96"/>
      <c r="X157" s="72"/>
      <c r="Y157" s="73"/>
      <c r="Z157" s="73"/>
      <c r="AA157" s="72"/>
      <c r="AB157" s="72"/>
      <c r="AC157" s="72"/>
      <c r="AD157" s="72"/>
      <c r="AE157" s="72"/>
      <c r="AF157" s="72"/>
      <c r="AI157" s="97"/>
      <c r="AJ157" s="97"/>
      <c r="AK157" s="97"/>
      <c r="AL157" s="97"/>
      <c r="AW157" s="72"/>
      <c r="AX157" s="75"/>
      <c r="AY157" s="75"/>
      <c r="AZ157" s="75"/>
      <c r="BA157" s="75"/>
      <c r="BB157" s="72"/>
      <c r="BC157" s="72"/>
      <c r="BD157" s="72"/>
      <c r="BE157" s="72"/>
      <c r="BH157" s="93"/>
      <c r="BI157" s="93"/>
      <c r="BJ157" s="93"/>
      <c r="BK157" s="93"/>
      <c r="BL157" s="93"/>
      <c r="BM157" s="93"/>
      <c r="BN157" s="93"/>
      <c r="BO157" s="93"/>
      <c r="CC157" s="72"/>
      <c r="CD157" s="72"/>
      <c r="CE157" s="72"/>
      <c r="CF157" s="72"/>
      <c r="CG157" s="72"/>
      <c r="CH157" s="72"/>
      <c r="CI157" s="72"/>
      <c r="CJ157" s="72"/>
      <c r="CM157" s="69"/>
      <c r="CN157" s="69"/>
      <c r="CO157" s="69"/>
      <c r="CP157" s="69"/>
      <c r="CQ157" s="76"/>
      <c r="CR157" s="76"/>
      <c r="CS157" s="177"/>
      <c r="CT157" s="76"/>
      <c r="CU157" s="76"/>
      <c r="CV157" s="71"/>
      <c r="CW157" s="71"/>
      <c r="CX157" s="71"/>
      <c r="CY157" s="71"/>
      <c r="CZ157" s="71"/>
      <c r="DA157" s="66"/>
      <c r="DB157" s="66"/>
      <c r="DC157" s="66"/>
      <c r="DD157" s="66"/>
      <c r="DE157" s="66"/>
      <c r="DF157" s="66"/>
      <c r="DG157" s="66"/>
      <c r="DH157" s="66"/>
      <c r="DI157" s="168"/>
      <c r="DJ157" s="67"/>
      <c r="DK157" s="69"/>
      <c r="DL157" s="69"/>
      <c r="DM157" s="69"/>
      <c r="DN157" s="69"/>
      <c r="DO157" s="69"/>
      <c r="DP157" s="69"/>
      <c r="DQ157" s="69"/>
      <c r="DR157" s="69"/>
      <c r="DS157" s="70"/>
      <c r="DT157" s="70"/>
      <c r="DU157" s="70"/>
      <c r="DV157" s="177"/>
      <c r="DW157" s="70"/>
      <c r="DX157" s="70"/>
      <c r="DY157" s="70"/>
      <c r="DZ157" s="71"/>
      <c r="EA157" s="71"/>
      <c r="EB157" s="71"/>
      <c r="EC157" s="180"/>
      <c r="ED157" s="71"/>
      <c r="EE157" s="180"/>
      <c r="EF157" s="66"/>
      <c r="EG157" s="66"/>
      <c r="EH157" s="79"/>
      <c r="EI157" s="66"/>
      <c r="EJ157" s="79"/>
      <c r="EK157" s="66"/>
      <c r="EL157" s="168"/>
      <c r="EM157" s="67"/>
      <c r="EN157" s="78"/>
      <c r="EO157" s="78"/>
      <c r="EP157" s="78"/>
      <c r="EQ157" s="78"/>
      <c r="ER157" s="79"/>
      <c r="ES157" s="66"/>
      <c r="ET157" s="66"/>
      <c r="EU157" s="66"/>
      <c r="EV157" s="79"/>
      <c r="EW157" s="66"/>
      <c r="EX157" s="66"/>
      <c r="EY157" s="66"/>
      <c r="EZ157" s="66"/>
      <c r="FA157" s="66"/>
      <c r="FB157" s="66"/>
    </row>
    <row r="158" spans="1:160" x14ac:dyDescent="0.3">
      <c r="A158" s="86"/>
      <c r="B158" s="86"/>
      <c r="C158" s="96"/>
      <c r="D158" s="93"/>
      <c r="E158" s="93"/>
      <c r="F158" s="96"/>
      <c r="G158" s="96"/>
      <c r="H158" s="96"/>
      <c r="I158" s="96"/>
      <c r="J158" s="96"/>
      <c r="X158" s="72"/>
      <c r="Y158" s="73"/>
      <c r="Z158" s="73"/>
      <c r="AA158" s="72"/>
      <c r="AB158" s="72"/>
      <c r="AC158" s="72"/>
      <c r="AD158" s="72"/>
      <c r="AE158" s="72"/>
      <c r="AF158" s="72"/>
      <c r="AI158" s="97"/>
      <c r="AJ158" s="97"/>
      <c r="AK158" s="97"/>
      <c r="AL158" s="97"/>
      <c r="AW158" s="72"/>
      <c r="AX158" s="75"/>
      <c r="AY158" s="75"/>
      <c r="AZ158" s="75"/>
      <c r="BA158" s="75"/>
      <c r="BB158" s="72"/>
      <c r="BC158" s="72"/>
      <c r="BD158" s="72"/>
      <c r="BE158" s="72"/>
      <c r="BH158" s="93"/>
      <c r="BI158" s="93"/>
      <c r="BJ158" s="93"/>
      <c r="BK158" s="93"/>
      <c r="BL158" s="93"/>
      <c r="BM158" s="93"/>
      <c r="BN158" s="93"/>
      <c r="BO158" s="93"/>
      <c r="CC158" s="72"/>
      <c r="CD158" s="72"/>
      <c r="CE158" s="72"/>
      <c r="CF158" s="72"/>
      <c r="CG158" s="72"/>
      <c r="CH158" s="72"/>
      <c r="CI158" s="72"/>
      <c r="CJ158" s="72"/>
      <c r="CM158" s="69"/>
      <c r="CN158" s="69"/>
      <c r="CO158" s="69"/>
      <c r="CP158" s="69"/>
      <c r="CQ158" s="76"/>
      <c r="CR158" s="76"/>
      <c r="CS158" s="177"/>
      <c r="CT158" s="76"/>
      <c r="CU158" s="76"/>
      <c r="CV158" s="71"/>
      <c r="CW158" s="71"/>
      <c r="CX158" s="71"/>
      <c r="CY158" s="71"/>
      <c r="CZ158" s="71"/>
      <c r="DA158" s="66"/>
      <c r="DB158" s="66"/>
      <c r="DC158" s="66"/>
      <c r="DD158" s="66"/>
      <c r="DE158" s="66"/>
      <c r="DF158" s="66"/>
      <c r="DG158" s="66"/>
      <c r="DH158" s="66"/>
      <c r="DI158" s="168"/>
      <c r="DJ158" s="67"/>
      <c r="DK158" s="69"/>
      <c r="DL158" s="69"/>
      <c r="DM158" s="69"/>
      <c r="DN158" s="69"/>
      <c r="DO158" s="69"/>
      <c r="DP158" s="69"/>
      <c r="DQ158" s="69"/>
      <c r="DR158" s="69"/>
      <c r="DS158" s="70"/>
      <c r="DT158" s="70"/>
      <c r="DU158" s="70"/>
      <c r="DV158" s="177"/>
      <c r="DW158" s="70"/>
      <c r="DX158" s="70"/>
      <c r="DY158" s="70"/>
      <c r="DZ158" s="71"/>
      <c r="EA158" s="71"/>
      <c r="EB158" s="71"/>
      <c r="EC158" s="180"/>
      <c r="ED158" s="71"/>
      <c r="EE158" s="180"/>
      <c r="EF158" s="66"/>
      <c r="EG158" s="66"/>
      <c r="EH158" s="79"/>
      <c r="EI158" s="66"/>
      <c r="EJ158" s="79"/>
      <c r="EK158" s="66"/>
      <c r="EL158" s="168"/>
      <c r="EM158" s="67"/>
      <c r="EN158" s="78"/>
      <c r="EO158" s="78"/>
      <c r="EP158" s="78"/>
      <c r="EQ158" s="78"/>
      <c r="ER158" s="79"/>
      <c r="ES158" s="66"/>
      <c r="ET158" s="66"/>
      <c r="EU158" s="66"/>
      <c r="EV158" s="79"/>
      <c r="EW158" s="66"/>
      <c r="EX158" s="66"/>
      <c r="EY158" s="66"/>
      <c r="EZ158" s="66"/>
      <c r="FA158" s="66"/>
      <c r="FB158" s="66"/>
    </row>
    <row r="159" spans="1:160" x14ac:dyDescent="0.3">
      <c r="A159" s="86"/>
      <c r="B159" s="86"/>
      <c r="C159" s="96"/>
      <c r="D159" s="93"/>
      <c r="E159" s="93"/>
      <c r="F159" s="96"/>
      <c r="G159" s="96"/>
      <c r="H159" s="96"/>
      <c r="I159" s="96"/>
      <c r="J159" s="96"/>
      <c r="X159" s="72"/>
      <c r="Y159" s="73"/>
      <c r="Z159" s="73"/>
      <c r="AA159" s="72"/>
      <c r="AB159" s="72"/>
      <c r="AC159" s="72"/>
      <c r="AD159" s="72"/>
      <c r="AE159" s="72"/>
      <c r="AF159" s="72"/>
      <c r="AI159" s="97"/>
      <c r="AJ159" s="97"/>
      <c r="AK159" s="97"/>
      <c r="AL159" s="97"/>
      <c r="AW159" s="72"/>
      <c r="AX159" s="75"/>
      <c r="AY159" s="75"/>
      <c r="AZ159" s="75"/>
      <c r="BA159" s="75"/>
      <c r="BB159" s="72"/>
      <c r="BC159" s="72"/>
      <c r="BD159" s="72"/>
      <c r="BE159" s="72"/>
      <c r="BH159" s="93"/>
      <c r="BI159" s="93"/>
      <c r="BJ159" s="93"/>
      <c r="BK159" s="93"/>
      <c r="BL159" s="93"/>
      <c r="BM159" s="93"/>
      <c r="BN159" s="93"/>
      <c r="BO159" s="93"/>
      <c r="CC159" s="72"/>
      <c r="CD159" s="72"/>
      <c r="CE159" s="72"/>
      <c r="CF159" s="72"/>
      <c r="CG159" s="72"/>
      <c r="CH159" s="72"/>
      <c r="CI159" s="72"/>
      <c r="CJ159" s="72"/>
      <c r="CM159" s="69"/>
      <c r="CN159" s="69"/>
      <c r="CO159" s="69"/>
      <c r="CP159" s="69"/>
      <c r="CQ159" s="76"/>
      <c r="CR159" s="76"/>
      <c r="CS159" s="177"/>
      <c r="CT159" s="76"/>
      <c r="CU159" s="76"/>
      <c r="CV159" s="71"/>
      <c r="CW159" s="71"/>
      <c r="CX159" s="71"/>
      <c r="CY159" s="71"/>
      <c r="CZ159" s="71"/>
      <c r="DA159" s="66"/>
      <c r="DB159" s="66"/>
      <c r="DC159" s="66"/>
      <c r="DD159" s="66"/>
      <c r="DE159" s="66"/>
      <c r="DF159" s="66"/>
      <c r="DG159" s="66"/>
      <c r="DH159" s="66"/>
      <c r="DI159" s="168"/>
      <c r="DJ159" s="67"/>
      <c r="DK159" s="69"/>
      <c r="DL159" s="69"/>
      <c r="DM159" s="69"/>
      <c r="DN159" s="69"/>
      <c r="DO159" s="69"/>
      <c r="DP159" s="69"/>
      <c r="DQ159" s="69"/>
      <c r="DR159" s="69"/>
      <c r="DS159" s="70"/>
      <c r="DT159" s="70"/>
      <c r="DU159" s="70"/>
      <c r="DV159" s="177"/>
      <c r="DW159" s="70"/>
      <c r="DX159" s="70"/>
      <c r="DY159" s="70"/>
      <c r="DZ159" s="71"/>
      <c r="EA159" s="71"/>
      <c r="EB159" s="71"/>
      <c r="EC159" s="180"/>
      <c r="ED159" s="71"/>
      <c r="EE159" s="180"/>
      <c r="EF159" s="66"/>
      <c r="EG159" s="66"/>
      <c r="EH159" s="79"/>
      <c r="EI159" s="66"/>
      <c r="EJ159" s="79"/>
      <c r="EK159" s="66"/>
      <c r="EL159" s="168"/>
      <c r="EM159" s="67"/>
      <c r="EN159" s="78"/>
      <c r="EO159" s="78"/>
      <c r="EP159" s="78"/>
      <c r="EQ159" s="78"/>
      <c r="ER159" s="79"/>
      <c r="ES159" s="66"/>
      <c r="ET159" s="66"/>
      <c r="EU159" s="66"/>
      <c r="EV159" s="79"/>
      <c r="EW159" s="66"/>
      <c r="EX159" s="66"/>
      <c r="EY159" s="66"/>
      <c r="EZ159" s="66"/>
      <c r="FA159" s="66"/>
      <c r="FB159" s="66"/>
    </row>
    <row r="160" spans="1:160" x14ac:dyDescent="0.3">
      <c r="A160" s="86"/>
      <c r="B160" s="86"/>
      <c r="C160" s="96"/>
      <c r="D160" s="93"/>
      <c r="E160" s="93"/>
      <c r="F160" s="96"/>
      <c r="G160" s="96"/>
      <c r="H160" s="96"/>
      <c r="I160" s="96"/>
      <c r="J160" s="96"/>
      <c r="X160" s="72"/>
      <c r="Y160" s="73"/>
      <c r="Z160" s="73"/>
      <c r="AA160" s="72"/>
      <c r="AB160" s="72"/>
      <c r="AC160" s="72"/>
      <c r="AD160" s="72"/>
      <c r="AE160" s="72"/>
      <c r="AF160" s="72"/>
      <c r="AI160" s="97"/>
      <c r="AJ160" s="97"/>
      <c r="AK160" s="97"/>
      <c r="AL160" s="96"/>
      <c r="AW160" s="72"/>
      <c r="AX160" s="75"/>
      <c r="AY160" s="75"/>
      <c r="AZ160" s="75"/>
      <c r="BA160" s="75"/>
      <c r="BB160" s="72"/>
      <c r="BC160" s="72"/>
      <c r="BD160" s="72"/>
      <c r="BE160" s="72"/>
      <c r="BH160" s="93"/>
      <c r="BI160" s="93"/>
      <c r="BJ160" s="93"/>
      <c r="BK160" s="93"/>
      <c r="BL160" s="93"/>
      <c r="BM160" s="93"/>
      <c r="BN160" s="93"/>
      <c r="BO160" s="93"/>
      <c r="CC160" s="72"/>
      <c r="CD160" s="72"/>
      <c r="CE160" s="72"/>
      <c r="CF160" s="72"/>
      <c r="CG160" s="72"/>
      <c r="CH160" s="72"/>
      <c r="CI160" s="72"/>
      <c r="CJ160" s="72"/>
      <c r="CM160" s="69"/>
      <c r="CN160" s="69"/>
      <c r="CO160" s="69"/>
      <c r="CP160" s="69"/>
      <c r="CQ160" s="76"/>
      <c r="CR160" s="76"/>
      <c r="CS160" s="177"/>
      <c r="CT160" s="76"/>
      <c r="CU160" s="76"/>
      <c r="CV160" s="71"/>
      <c r="CW160" s="71"/>
      <c r="CX160" s="71"/>
      <c r="CY160" s="71"/>
      <c r="CZ160" s="71"/>
      <c r="DA160" s="66"/>
      <c r="DB160" s="66"/>
      <c r="DC160" s="66"/>
      <c r="DD160" s="66"/>
      <c r="DE160" s="66"/>
      <c r="DF160" s="66"/>
      <c r="DG160" s="66"/>
      <c r="DH160" s="66"/>
      <c r="DI160" s="168"/>
      <c r="DJ160" s="67"/>
      <c r="DK160" s="69"/>
      <c r="DL160" s="69"/>
      <c r="DM160" s="69"/>
      <c r="DN160" s="69"/>
      <c r="DO160" s="69"/>
      <c r="DP160" s="69"/>
      <c r="DQ160" s="69"/>
      <c r="DR160" s="69"/>
      <c r="DS160" s="70"/>
      <c r="DT160" s="70"/>
      <c r="DU160" s="70"/>
      <c r="DV160" s="177"/>
      <c r="DW160" s="177"/>
      <c r="DX160" s="70"/>
      <c r="DY160" s="70"/>
      <c r="DZ160" s="71"/>
      <c r="EA160" s="71"/>
      <c r="EB160" s="71"/>
      <c r="EC160" s="180"/>
      <c r="ED160" s="71"/>
      <c r="EE160" s="180"/>
      <c r="EF160" s="66"/>
      <c r="EG160" s="66"/>
      <c r="EH160" s="79"/>
      <c r="EI160" s="66"/>
      <c r="EJ160" s="79"/>
      <c r="EK160" s="66"/>
      <c r="EL160" s="168"/>
      <c r="EM160" s="67"/>
      <c r="EN160" s="78"/>
      <c r="EO160" s="78"/>
      <c r="EP160" s="78"/>
      <c r="EQ160" s="78"/>
      <c r="ER160" s="79"/>
      <c r="ES160" s="66"/>
      <c r="ET160" s="66"/>
      <c r="EU160" s="66"/>
      <c r="EV160" s="79"/>
      <c r="EW160" s="66"/>
      <c r="EX160" s="66"/>
      <c r="EY160" s="66"/>
      <c r="EZ160" s="66"/>
      <c r="FA160" s="66"/>
      <c r="FB160" s="66"/>
    </row>
    <row r="161" spans="1:158" x14ac:dyDescent="0.3">
      <c r="X161" s="72"/>
      <c r="Y161" s="73"/>
      <c r="Z161" s="73"/>
      <c r="AA161" s="72"/>
      <c r="AB161" s="72"/>
      <c r="AC161" s="72"/>
      <c r="AD161" s="72"/>
      <c r="AE161" s="72"/>
      <c r="AF161" s="72"/>
      <c r="AI161" s="97"/>
      <c r="AJ161" s="97"/>
      <c r="AK161" s="97"/>
      <c r="AW161" s="72"/>
      <c r="AX161" s="75"/>
      <c r="AY161" s="75"/>
      <c r="AZ161" s="75"/>
      <c r="BA161" s="75"/>
      <c r="BB161" s="72"/>
      <c r="BC161" s="72"/>
      <c r="BD161" s="72"/>
      <c r="BE161" s="72"/>
      <c r="BK161" s="88"/>
      <c r="BL161" s="88"/>
      <c r="BM161" s="88"/>
      <c r="BN161" s="88"/>
      <c r="BO161" s="88"/>
      <c r="CC161" s="72"/>
      <c r="CD161" s="72"/>
      <c r="CE161" s="72"/>
      <c r="CF161" s="72"/>
      <c r="CG161" s="72"/>
      <c r="CH161" s="72"/>
      <c r="CI161" s="72"/>
      <c r="CJ161" s="72"/>
      <c r="CM161" s="69"/>
      <c r="CN161" s="69"/>
      <c r="CO161" s="69"/>
      <c r="CP161" s="69"/>
      <c r="CQ161" s="76"/>
      <c r="CR161" s="76"/>
      <c r="CS161" s="177"/>
      <c r="CT161" s="70"/>
      <c r="CU161" s="76"/>
      <c r="CV161" s="71"/>
      <c r="CW161" s="71"/>
      <c r="CX161" s="71"/>
      <c r="CY161" s="71"/>
      <c r="CZ161" s="71"/>
      <c r="DA161" s="66"/>
      <c r="DB161" s="66"/>
      <c r="DC161" s="66"/>
      <c r="DD161" s="66"/>
      <c r="DE161" s="66"/>
      <c r="DF161" s="66"/>
      <c r="DG161" s="66"/>
      <c r="DH161" s="66"/>
      <c r="DI161" s="168"/>
      <c r="DJ161" s="67"/>
      <c r="DK161" s="69"/>
      <c r="DL161" s="69"/>
      <c r="DM161" s="69"/>
      <c r="DN161" s="69"/>
      <c r="DO161" s="69"/>
      <c r="DP161" s="69"/>
      <c r="DQ161" s="69"/>
      <c r="DR161" s="69"/>
      <c r="DS161" s="70"/>
      <c r="DT161" s="70"/>
      <c r="DU161" s="70"/>
      <c r="DV161" s="177"/>
      <c r="DW161" s="177"/>
      <c r="DX161" s="70"/>
      <c r="DY161" s="70"/>
      <c r="DZ161" s="71"/>
      <c r="EA161" s="71"/>
      <c r="EB161" s="180"/>
      <c r="EC161" s="180"/>
      <c r="ED161" s="71"/>
      <c r="EE161" s="180"/>
      <c r="EF161" s="66"/>
      <c r="EG161" s="66"/>
      <c r="EH161" s="79"/>
      <c r="EI161" s="66"/>
      <c r="EJ161" s="79"/>
      <c r="EK161" s="66"/>
      <c r="EL161" s="168"/>
      <c r="EM161" s="67"/>
      <c r="EN161" s="78"/>
      <c r="EO161" s="78"/>
      <c r="EP161" s="78"/>
      <c r="EQ161" s="78"/>
      <c r="ER161" s="79"/>
      <c r="ES161" s="66"/>
      <c r="ET161" s="66"/>
      <c r="EU161" s="66"/>
      <c r="EV161" s="79"/>
      <c r="EW161" s="66"/>
      <c r="EX161" s="66"/>
      <c r="EY161" s="66"/>
      <c r="EZ161" s="66"/>
      <c r="FA161" s="66"/>
      <c r="FB161" s="66"/>
    </row>
    <row r="162" spans="1:158" x14ac:dyDescent="0.3">
      <c r="K162" s="70">
        <f>AVERAGE(K5:K34)</f>
        <v>52.046200000000013</v>
      </c>
      <c r="N162" s="70">
        <f>AVERAGE(N5:N34)</f>
        <v>0.80281666666666662</v>
      </c>
      <c r="P162" s="70">
        <f>AVERAGE(P5:P34)</f>
        <v>9.8147200000000012</v>
      </c>
      <c r="Q162" s="70">
        <f>AVERAGE(Q5:Q34)</f>
        <v>18.191678571428572</v>
      </c>
      <c r="X162" s="72">
        <f>AVERAGE(X5:X34)</f>
        <v>47.8</v>
      </c>
      <c r="Y162" s="73"/>
      <c r="Z162" s="73"/>
      <c r="AA162" s="72"/>
      <c r="AB162" s="72"/>
      <c r="AC162" s="72"/>
      <c r="AD162" s="72"/>
      <c r="AE162" s="72"/>
      <c r="AF162" s="72"/>
      <c r="AH162" s="74">
        <f>AVERAGE(AH5:AH34)</f>
        <v>6.886000000000001</v>
      </c>
      <c r="AW162" s="72"/>
      <c r="AX162" s="75"/>
      <c r="AY162" s="75"/>
      <c r="AZ162" s="75"/>
      <c r="BA162" s="75"/>
      <c r="BB162" s="72"/>
      <c r="BC162" s="72"/>
      <c r="BD162" s="72"/>
      <c r="BE162" s="72"/>
      <c r="BK162" s="88"/>
      <c r="BL162" s="88"/>
      <c r="BM162" s="88"/>
      <c r="BN162" s="88"/>
      <c r="BO162" s="88"/>
      <c r="CC162" s="72"/>
      <c r="CD162" s="72"/>
      <c r="CE162" s="72"/>
      <c r="CF162" s="72"/>
      <c r="CG162" s="72"/>
      <c r="CH162" s="72"/>
      <c r="CI162" s="72"/>
      <c r="CJ162" s="72"/>
      <c r="CM162" s="69"/>
      <c r="CN162" s="69"/>
      <c r="CO162" s="69"/>
      <c r="CP162" s="69"/>
      <c r="CQ162" s="76"/>
      <c r="CR162" s="76"/>
      <c r="CS162" s="177"/>
      <c r="CT162" s="70"/>
      <c r="CU162" s="76"/>
      <c r="CV162" s="77"/>
      <c r="CW162" s="77"/>
      <c r="CX162" s="77"/>
      <c r="CY162" s="77"/>
      <c r="CZ162" s="77"/>
      <c r="DA162" s="66"/>
      <c r="DB162" s="66"/>
      <c r="DC162" s="66"/>
      <c r="DD162" s="66"/>
      <c r="DE162" s="66"/>
      <c r="DF162" s="66"/>
      <c r="DG162" s="66"/>
      <c r="DH162" s="66"/>
      <c r="DI162" s="168"/>
      <c r="DJ162" s="67"/>
      <c r="DK162" s="69"/>
      <c r="DL162" s="69"/>
      <c r="DM162" s="69"/>
      <c r="DN162" s="69"/>
      <c r="DO162" s="69"/>
      <c r="DP162" s="69"/>
      <c r="DQ162" s="69"/>
      <c r="DR162" s="69"/>
      <c r="DS162" s="70"/>
      <c r="DT162" s="70"/>
      <c r="DU162" s="70"/>
      <c r="DV162" s="177"/>
      <c r="DW162" s="177"/>
      <c r="DX162" s="70"/>
      <c r="DY162" s="70"/>
      <c r="DZ162" s="71"/>
      <c r="EA162" s="71"/>
      <c r="EB162" s="180"/>
      <c r="EC162" s="180"/>
      <c r="ED162" s="71"/>
      <c r="EE162" s="180"/>
      <c r="EF162" s="66"/>
      <c r="EG162" s="66"/>
      <c r="EH162" s="79"/>
      <c r="EI162" s="66"/>
      <c r="EJ162" s="79"/>
      <c r="EK162" s="66"/>
      <c r="EL162" s="168"/>
      <c r="EM162" s="67"/>
      <c r="EN162" s="78"/>
      <c r="EO162" s="78"/>
      <c r="EP162" s="78"/>
      <c r="EQ162" s="78"/>
      <c r="ER162" s="79"/>
      <c r="ES162" s="66"/>
      <c r="ET162" s="66"/>
      <c r="EU162" s="66"/>
      <c r="EV162" s="79"/>
      <c r="EW162" s="66"/>
      <c r="EX162" s="66"/>
      <c r="EY162" s="66"/>
      <c r="EZ162" s="66"/>
      <c r="FA162" s="66"/>
      <c r="FB162" s="66"/>
    </row>
    <row r="163" spans="1:158" x14ac:dyDescent="0.3">
      <c r="K163" s="70">
        <f>_xlfn.STDEV.S(K5:K34)</f>
        <v>7.2112316069046196</v>
      </c>
      <c r="N163" s="70">
        <f>_xlfn.STDEV.S(N5:N34)</f>
        <v>0.45319417237955306</v>
      </c>
      <c r="P163" s="70">
        <f>_xlfn.STDEV.S(P5:P34)</f>
        <v>5.9235004080180023</v>
      </c>
      <c r="Q163" s="70">
        <f>_xlfn.STDEV.S(Q5:Q34)</f>
        <v>8.830994307740875</v>
      </c>
      <c r="X163" s="79">
        <f>_xlfn.STDEV.S(X5:X34)</f>
        <v>7.0710678118654755</v>
      </c>
      <c r="AH163" s="74">
        <f>_xlfn.STDEV.S(AH5:AH34)</f>
        <v>0.39162299655225996</v>
      </c>
      <c r="AX163" s="75"/>
      <c r="AY163" s="75"/>
      <c r="AZ163" s="75"/>
      <c r="BA163" s="75"/>
      <c r="BB163" s="72"/>
      <c r="BC163" s="72"/>
      <c r="BD163" s="72"/>
      <c r="BE163" s="72"/>
      <c r="BK163" s="88"/>
      <c r="BL163" s="88"/>
      <c r="BM163" s="88"/>
      <c r="BN163" s="88"/>
      <c r="BO163" s="88"/>
      <c r="CM163" s="69"/>
      <c r="CN163" s="69"/>
      <c r="CO163" s="69"/>
      <c r="CP163" s="69"/>
      <c r="CQ163" s="76"/>
      <c r="CR163" s="76"/>
      <c r="CS163" s="177"/>
      <c r="CT163" s="70"/>
      <c r="CU163" s="76"/>
      <c r="CV163" s="77"/>
      <c r="CW163" s="77"/>
      <c r="CX163" s="77"/>
      <c r="CY163" s="77"/>
      <c r="CZ163" s="77"/>
      <c r="DA163" s="66"/>
      <c r="DB163" s="66"/>
      <c r="DC163" s="66"/>
      <c r="DD163" s="66"/>
      <c r="DE163" s="66"/>
      <c r="DF163" s="66"/>
      <c r="DG163" s="66"/>
      <c r="DH163" s="66"/>
      <c r="DI163" s="168"/>
      <c r="DJ163" s="67"/>
      <c r="DK163" s="69"/>
      <c r="DL163" s="69"/>
      <c r="DM163" s="69"/>
      <c r="DN163" s="69"/>
      <c r="DO163" s="69"/>
      <c r="DP163" s="69"/>
      <c r="DQ163" s="69"/>
      <c r="DR163" s="69"/>
      <c r="DS163" s="70"/>
      <c r="DT163" s="70"/>
      <c r="DU163" s="70"/>
      <c r="DV163" s="177"/>
      <c r="DW163" s="177"/>
      <c r="DX163" s="70"/>
      <c r="DY163" s="70"/>
      <c r="DZ163" s="71"/>
      <c r="EA163" s="71"/>
      <c r="EB163" s="180"/>
      <c r="EC163" s="180"/>
      <c r="ED163" s="71"/>
      <c r="EE163" s="180"/>
      <c r="EF163" s="66"/>
      <c r="EG163" s="66"/>
      <c r="EH163" s="79"/>
      <c r="EI163" s="66"/>
      <c r="EJ163" s="79"/>
      <c r="EK163" s="66"/>
      <c r="EL163" s="168"/>
      <c r="EM163" s="67"/>
      <c r="EN163" s="78"/>
      <c r="EO163" s="78"/>
      <c r="EP163" s="78"/>
      <c r="EQ163" s="78"/>
      <c r="ER163" s="79"/>
      <c r="ES163" s="66"/>
      <c r="ET163" s="66"/>
      <c r="EU163" s="66"/>
      <c r="EV163" s="79"/>
      <c r="EW163" s="66"/>
      <c r="EX163" s="66"/>
      <c r="EY163" s="66"/>
      <c r="EZ163" s="66"/>
      <c r="FA163" s="66"/>
      <c r="FB163" s="66"/>
    </row>
    <row r="164" spans="1:158" x14ac:dyDescent="0.3">
      <c r="A164" s="120"/>
      <c r="B164" s="120"/>
      <c r="C164" s="121"/>
      <c r="D164" s="121"/>
      <c r="E164" s="121"/>
      <c r="F164" s="121"/>
      <c r="G164" s="121"/>
      <c r="H164" s="121"/>
      <c r="I164" s="121"/>
      <c r="J164" s="121"/>
      <c r="K164" s="122"/>
      <c r="L164" s="122"/>
      <c r="M164" s="122"/>
      <c r="N164" s="122"/>
      <c r="O164" s="122"/>
      <c r="P164" s="122"/>
      <c r="Q164" s="122"/>
      <c r="R164" s="123"/>
      <c r="S164" s="123"/>
      <c r="T164" s="123"/>
      <c r="U164" s="123"/>
      <c r="V164" s="123"/>
      <c r="W164" s="123"/>
      <c r="X164" s="124"/>
      <c r="Y164" s="125"/>
      <c r="Z164" s="125"/>
      <c r="AA164" s="124"/>
      <c r="AB164" s="124"/>
      <c r="AC164" s="124"/>
      <c r="AD164" s="124"/>
      <c r="AE164" s="124"/>
      <c r="AF164" s="124"/>
      <c r="AG164" s="169"/>
      <c r="AH164" s="126"/>
      <c r="AI164" s="121"/>
      <c r="AJ164" s="121"/>
      <c r="AK164" s="121"/>
      <c r="AL164" s="121"/>
      <c r="AM164" s="122"/>
      <c r="AN164" s="122"/>
      <c r="AO164" s="122"/>
      <c r="AP164" s="122"/>
      <c r="AQ164" s="122"/>
      <c r="AR164" s="123"/>
      <c r="AS164" s="123"/>
      <c r="AT164" s="123"/>
      <c r="AU164" s="123"/>
      <c r="AV164" s="123"/>
      <c r="AW164" s="124"/>
      <c r="AX164" s="127"/>
      <c r="AY164" s="127"/>
      <c r="AZ164" s="127"/>
      <c r="BA164" s="127"/>
      <c r="BB164" s="128"/>
      <c r="BC164" s="128"/>
      <c r="BD164" s="128"/>
      <c r="BE164" s="128"/>
      <c r="BF164" s="169"/>
      <c r="BG164" s="126"/>
      <c r="BH164" s="121"/>
      <c r="BI164" s="121"/>
      <c r="BJ164" s="121"/>
      <c r="BK164" s="129"/>
      <c r="BL164" s="129"/>
      <c r="BM164" s="129"/>
      <c r="BN164" s="129"/>
      <c r="BO164" s="129"/>
      <c r="BP164" s="122"/>
      <c r="BQ164" s="122"/>
      <c r="BR164" s="122"/>
      <c r="BS164" s="122"/>
      <c r="BT164" s="122"/>
      <c r="BU164" s="122"/>
      <c r="BV164" s="122"/>
      <c r="BW164" s="123"/>
      <c r="BX164" s="123"/>
      <c r="BY164" s="123"/>
      <c r="BZ164" s="123"/>
      <c r="CA164" s="123"/>
      <c r="CB164" s="123"/>
      <c r="CC164" s="124"/>
      <c r="CD164" s="124"/>
      <c r="CE164" s="124"/>
      <c r="CF164" s="124"/>
      <c r="CG164" s="124"/>
      <c r="CH164" s="124"/>
      <c r="CI164" s="124"/>
      <c r="CJ164" s="124"/>
      <c r="CK164" s="169"/>
      <c r="CL164" s="126"/>
      <c r="EN164" s="135"/>
      <c r="EO164" s="135"/>
      <c r="EP164" s="135"/>
      <c r="EQ164" s="135"/>
    </row>
    <row r="165" spans="1:158" x14ac:dyDescent="0.3">
      <c r="AX165" s="75"/>
      <c r="AY165" s="75"/>
      <c r="AZ165" s="75"/>
      <c r="BA165" s="75"/>
      <c r="BB165" s="72"/>
      <c r="BC165" s="72"/>
      <c r="BD165" s="72"/>
      <c r="BE165" s="72"/>
      <c r="EN165" s="79"/>
      <c r="EO165" s="79"/>
      <c r="EP165" s="79"/>
      <c r="EQ165" s="79"/>
    </row>
    <row r="166" spans="1:158" x14ac:dyDescent="0.3">
      <c r="AZ166" s="75"/>
      <c r="BA166" s="75"/>
      <c r="EN166" s="79"/>
      <c r="EO166" s="79"/>
      <c r="EP166" s="79"/>
      <c r="EQ166" s="79"/>
    </row>
    <row r="167" spans="1:158" x14ac:dyDescent="0.3">
      <c r="AZ167" s="75"/>
      <c r="BA167" s="75"/>
      <c r="EN167" s="79"/>
      <c r="EO167" s="79"/>
      <c r="EP167" s="79"/>
      <c r="EQ167" s="79"/>
    </row>
    <row r="168" spans="1:158" x14ac:dyDescent="0.3">
      <c r="AZ168" s="75"/>
      <c r="EN168" s="79"/>
      <c r="EO168" s="79"/>
      <c r="EP168" s="79"/>
      <c r="EQ168" s="79"/>
    </row>
    <row r="169" spans="1:158" x14ac:dyDescent="0.3">
      <c r="AZ169" s="75"/>
      <c r="EN169" s="79"/>
      <c r="EO169" s="79"/>
      <c r="EP169" s="79"/>
      <c r="EQ169" s="79"/>
    </row>
    <row r="170" spans="1:158" x14ac:dyDescent="0.3">
      <c r="EN170" s="79"/>
      <c r="EO170" s="79"/>
      <c r="EP170" s="79"/>
      <c r="EQ170" s="79"/>
    </row>
    <row r="171" spans="1:158" x14ac:dyDescent="0.3">
      <c r="EN171" s="79"/>
      <c r="EO171" s="79"/>
      <c r="EP171" s="79"/>
      <c r="EQ171" s="79"/>
    </row>
    <row r="172" spans="1:158" x14ac:dyDescent="0.3">
      <c r="EN172" s="79"/>
      <c r="EO172" s="79"/>
      <c r="EP172" s="79"/>
      <c r="EQ172" s="79"/>
    </row>
    <row r="173" spans="1:158" x14ac:dyDescent="0.3">
      <c r="EN173" s="79"/>
      <c r="EO173" s="79"/>
      <c r="EP173" s="79"/>
      <c r="EQ173" s="79"/>
    </row>
    <row r="174" spans="1:158" s="118" customFormat="1" x14ac:dyDescent="0.3">
      <c r="A174" s="52"/>
      <c r="B174" s="52"/>
      <c r="C174" s="69"/>
      <c r="D174" s="69"/>
      <c r="E174" s="69"/>
      <c r="F174" s="69"/>
      <c r="G174" s="69"/>
      <c r="H174" s="69"/>
      <c r="I174" s="69"/>
      <c r="J174" s="69"/>
      <c r="K174" s="70"/>
      <c r="L174" s="70"/>
      <c r="M174" s="70"/>
      <c r="N174" s="70"/>
      <c r="O174" s="70"/>
      <c r="P174" s="70"/>
      <c r="Q174" s="70"/>
      <c r="R174" s="71"/>
      <c r="S174" s="71"/>
      <c r="T174" s="71"/>
      <c r="U174" s="71"/>
      <c r="V174" s="71"/>
      <c r="W174" s="71"/>
      <c r="X174" s="79"/>
      <c r="Y174" s="119"/>
      <c r="Z174" s="119"/>
      <c r="AA174" s="79"/>
      <c r="AB174" s="79"/>
      <c r="AC174" s="79"/>
      <c r="AD174" s="79"/>
      <c r="AE174" s="79"/>
      <c r="AF174" s="79"/>
      <c r="AG174" s="168"/>
      <c r="AH174" s="74"/>
      <c r="AI174" s="69"/>
      <c r="AJ174" s="69"/>
      <c r="AK174" s="69"/>
      <c r="AL174" s="69"/>
      <c r="AM174" s="70"/>
      <c r="AN174" s="70"/>
      <c r="AO174" s="70"/>
      <c r="AP174" s="70"/>
      <c r="AQ174" s="70"/>
      <c r="AR174" s="71"/>
      <c r="AS174" s="71"/>
      <c r="AT174" s="71"/>
      <c r="AU174" s="71"/>
      <c r="AV174" s="71"/>
      <c r="AW174" s="79"/>
      <c r="AX174" s="136"/>
      <c r="AY174" s="136"/>
      <c r="AZ174" s="136"/>
      <c r="BA174" s="136"/>
      <c r="BB174" s="79"/>
      <c r="BC174" s="79"/>
      <c r="BD174" s="79"/>
      <c r="BE174" s="79"/>
      <c r="BF174" s="168"/>
      <c r="BG174" s="74"/>
      <c r="BH174" s="69"/>
      <c r="BI174" s="69"/>
      <c r="BJ174" s="69"/>
      <c r="BK174" s="69"/>
      <c r="BL174" s="69"/>
      <c r="BM174" s="69"/>
      <c r="BN174" s="69"/>
      <c r="BO174" s="69"/>
      <c r="BP174" s="70"/>
      <c r="BQ174" s="70"/>
      <c r="BR174" s="70"/>
      <c r="BS174" s="70"/>
      <c r="BT174" s="70"/>
      <c r="BU174" s="70"/>
      <c r="BV174" s="70"/>
      <c r="BW174" s="71"/>
      <c r="BX174" s="71"/>
      <c r="BY174" s="71"/>
      <c r="BZ174" s="71"/>
      <c r="CA174" s="71"/>
      <c r="CB174" s="71"/>
      <c r="CC174" s="79"/>
      <c r="CD174" s="79"/>
      <c r="CE174" s="79"/>
      <c r="CF174" s="79"/>
      <c r="CG174" s="79"/>
      <c r="CH174" s="79"/>
      <c r="CI174" s="79"/>
      <c r="CJ174" s="79"/>
      <c r="CK174" s="168"/>
      <c r="CL174" s="74"/>
      <c r="CM174" s="130"/>
      <c r="CN174" s="130"/>
      <c r="CO174" s="130"/>
      <c r="CP174" s="130"/>
      <c r="CQ174" s="131"/>
      <c r="CR174" s="131"/>
      <c r="CS174" s="178"/>
      <c r="CT174" s="132"/>
      <c r="CU174" s="131"/>
      <c r="CV174" s="133"/>
      <c r="CW174" s="133"/>
      <c r="CX174" s="133"/>
      <c r="CY174" s="133"/>
      <c r="CZ174" s="133"/>
      <c r="DA174" s="80"/>
      <c r="DB174" s="80"/>
      <c r="DC174" s="80"/>
      <c r="DD174" s="80"/>
      <c r="DE174" s="80"/>
      <c r="DF174" s="80"/>
      <c r="DG174" s="80"/>
      <c r="DH174" s="80"/>
      <c r="DI174" s="173"/>
      <c r="DJ174" s="134"/>
      <c r="DK174" s="130"/>
      <c r="DL174" s="130"/>
      <c r="DM174" s="130"/>
      <c r="DN174" s="130"/>
      <c r="DO174" s="130"/>
      <c r="DP174" s="130"/>
      <c r="DQ174" s="130"/>
      <c r="DR174" s="130"/>
      <c r="DS174" s="132"/>
      <c r="DT174" s="132"/>
      <c r="DU174" s="132"/>
      <c r="DV174" s="178"/>
      <c r="DW174" s="178"/>
      <c r="DX174" s="132"/>
      <c r="DY174" s="132"/>
      <c r="DZ174" s="175"/>
      <c r="EA174" s="175"/>
      <c r="EB174" s="181"/>
      <c r="EC174" s="181"/>
      <c r="ED174" s="175"/>
      <c r="EE174" s="181"/>
      <c r="EF174" s="80"/>
      <c r="EG174" s="80"/>
      <c r="EI174" s="80"/>
      <c r="EK174" s="80"/>
      <c r="EL174" s="173"/>
      <c r="EM174" s="134"/>
      <c r="EN174" s="79"/>
      <c r="EO174" s="79"/>
      <c r="EP174" s="79"/>
      <c r="EQ174" s="79"/>
      <c r="ES174" s="80"/>
      <c r="ET174" s="80"/>
      <c r="EU174" s="80"/>
      <c r="EW174" s="80"/>
      <c r="EX174" s="80"/>
      <c r="EY174" s="80"/>
      <c r="EZ174" s="80"/>
      <c r="FA174" s="80"/>
      <c r="FB174" s="80"/>
    </row>
    <row r="175" spans="1:158" s="118" customFormat="1" x14ac:dyDescent="0.3">
      <c r="A175" s="52"/>
      <c r="B175" s="52"/>
      <c r="C175" s="69"/>
      <c r="D175" s="69"/>
      <c r="E175" s="69"/>
      <c r="F175" s="69"/>
      <c r="G175" s="69"/>
      <c r="H175" s="69"/>
      <c r="I175" s="69"/>
      <c r="J175" s="69"/>
      <c r="K175" s="70"/>
      <c r="L175" s="70"/>
      <c r="M175" s="70"/>
      <c r="N175" s="70"/>
      <c r="O175" s="70"/>
      <c r="P175" s="70"/>
      <c r="Q175" s="70"/>
      <c r="R175" s="71"/>
      <c r="S175" s="71"/>
      <c r="T175" s="71"/>
      <c r="U175" s="71"/>
      <c r="V175" s="71"/>
      <c r="W175" s="71"/>
      <c r="X175" s="79"/>
      <c r="Y175" s="119"/>
      <c r="Z175" s="119"/>
      <c r="AA175" s="79"/>
      <c r="AB175" s="79"/>
      <c r="AC175" s="79"/>
      <c r="AD175" s="79"/>
      <c r="AE175" s="79"/>
      <c r="AF175" s="79"/>
      <c r="AG175" s="168"/>
      <c r="AH175" s="74"/>
      <c r="AI175" s="69"/>
      <c r="AJ175" s="69"/>
      <c r="AK175" s="69"/>
      <c r="AL175" s="69"/>
      <c r="AM175" s="70"/>
      <c r="AN175" s="70"/>
      <c r="AO175" s="70"/>
      <c r="AP175" s="70"/>
      <c r="AQ175" s="70"/>
      <c r="AR175" s="71"/>
      <c r="AS175" s="71"/>
      <c r="AT175" s="71"/>
      <c r="AU175" s="71"/>
      <c r="AV175" s="71"/>
      <c r="AW175" s="79"/>
      <c r="AX175" s="136"/>
      <c r="AY175" s="136"/>
      <c r="AZ175" s="136"/>
      <c r="BA175" s="136"/>
      <c r="BB175" s="79"/>
      <c r="BC175" s="79"/>
      <c r="BD175" s="79"/>
      <c r="BE175" s="79"/>
      <c r="BF175" s="168"/>
      <c r="BG175" s="74"/>
      <c r="BH175" s="69"/>
      <c r="BI175" s="69"/>
      <c r="BJ175" s="69"/>
      <c r="BK175" s="69"/>
      <c r="BL175" s="69"/>
      <c r="BM175" s="69"/>
      <c r="BN175" s="69"/>
      <c r="BO175" s="69"/>
      <c r="BP175" s="70"/>
      <c r="BQ175" s="70"/>
      <c r="BR175" s="70"/>
      <c r="BS175" s="70"/>
      <c r="BT175" s="70"/>
      <c r="BU175" s="70"/>
      <c r="BV175" s="70"/>
      <c r="BW175" s="71"/>
      <c r="BX175" s="71"/>
      <c r="BY175" s="71"/>
      <c r="BZ175" s="71"/>
      <c r="CA175" s="71"/>
      <c r="CB175" s="71"/>
      <c r="CC175" s="79"/>
      <c r="CD175" s="79"/>
      <c r="CE175" s="79"/>
      <c r="CF175" s="79"/>
      <c r="CG175" s="79"/>
      <c r="CH175" s="79"/>
      <c r="CI175" s="79"/>
      <c r="CJ175" s="79"/>
      <c r="CK175" s="168"/>
      <c r="CL175" s="74"/>
      <c r="CM175" s="130"/>
      <c r="CN175" s="130"/>
      <c r="CO175" s="130"/>
      <c r="CP175" s="130"/>
      <c r="CQ175" s="131"/>
      <c r="CR175" s="131"/>
      <c r="CS175" s="178"/>
      <c r="CT175" s="132"/>
      <c r="CU175" s="131"/>
      <c r="CV175" s="133"/>
      <c r="CW175" s="133"/>
      <c r="CX175" s="133"/>
      <c r="CY175" s="133"/>
      <c r="CZ175" s="133"/>
      <c r="DA175" s="80"/>
      <c r="DB175" s="80"/>
      <c r="DC175" s="80"/>
      <c r="DD175" s="80"/>
      <c r="DE175" s="80"/>
      <c r="DF175" s="80"/>
      <c r="DG175" s="80"/>
      <c r="DH175" s="80"/>
      <c r="DI175" s="173"/>
      <c r="DJ175" s="134"/>
      <c r="DK175" s="130"/>
      <c r="DL175" s="130"/>
      <c r="DM175" s="130"/>
      <c r="DN175" s="130"/>
      <c r="DO175" s="130"/>
      <c r="DP175" s="130"/>
      <c r="DQ175" s="130"/>
      <c r="DR175" s="130"/>
      <c r="DS175" s="132"/>
      <c r="DT175" s="132"/>
      <c r="DU175" s="132"/>
      <c r="DV175" s="178"/>
      <c r="DW175" s="178"/>
      <c r="DX175" s="132"/>
      <c r="DY175" s="132"/>
      <c r="DZ175" s="175"/>
      <c r="EA175" s="175"/>
      <c r="EB175" s="181"/>
      <c r="EC175" s="181"/>
      <c r="ED175" s="175"/>
      <c r="EE175" s="181"/>
      <c r="EF175" s="80"/>
      <c r="EG175" s="80"/>
      <c r="EI175" s="80"/>
      <c r="EK175" s="80"/>
      <c r="EL175" s="173"/>
      <c r="EM175" s="134"/>
      <c r="EN175" s="79"/>
      <c r="EO175" s="79"/>
      <c r="EP175" s="79"/>
      <c r="EQ175" s="79"/>
      <c r="ES175" s="80"/>
      <c r="ET175" s="80"/>
      <c r="EU175" s="80"/>
      <c r="EW175" s="80"/>
      <c r="EX175" s="80"/>
      <c r="EY175" s="80"/>
      <c r="EZ175" s="80"/>
      <c r="FA175" s="80"/>
      <c r="FB175" s="80"/>
    </row>
    <row r="176" spans="1:158" s="118" customFormat="1" x14ac:dyDescent="0.3">
      <c r="A176" s="52"/>
      <c r="B176" s="52"/>
      <c r="C176" s="69"/>
      <c r="D176" s="69"/>
      <c r="E176" s="69"/>
      <c r="F176" s="69"/>
      <c r="G176" s="69"/>
      <c r="H176" s="69"/>
      <c r="I176" s="69"/>
      <c r="J176" s="69"/>
      <c r="K176" s="70"/>
      <c r="L176" s="70"/>
      <c r="M176" s="70"/>
      <c r="N176" s="70"/>
      <c r="O176" s="70"/>
      <c r="P176" s="70"/>
      <c r="Q176" s="70"/>
      <c r="R176" s="71"/>
      <c r="S176" s="71"/>
      <c r="T176" s="71"/>
      <c r="U176" s="71"/>
      <c r="V176" s="71"/>
      <c r="W176" s="71"/>
      <c r="X176" s="79"/>
      <c r="Y176" s="119"/>
      <c r="Z176" s="119"/>
      <c r="AA176" s="79"/>
      <c r="AB176" s="79"/>
      <c r="AC176" s="79"/>
      <c r="AD176" s="79"/>
      <c r="AE176" s="79"/>
      <c r="AF176" s="79"/>
      <c r="AG176" s="168"/>
      <c r="AH176" s="74"/>
      <c r="AI176" s="69"/>
      <c r="AJ176" s="69"/>
      <c r="AK176" s="69"/>
      <c r="AL176" s="69"/>
      <c r="AM176" s="70"/>
      <c r="AN176" s="70"/>
      <c r="AO176" s="70"/>
      <c r="AP176" s="70"/>
      <c r="AQ176" s="70"/>
      <c r="AR176" s="71"/>
      <c r="AS176" s="71"/>
      <c r="AT176" s="71"/>
      <c r="AU176" s="71"/>
      <c r="AV176" s="71"/>
      <c r="AW176" s="79"/>
      <c r="AX176" s="136"/>
      <c r="AY176" s="136"/>
      <c r="AZ176" s="136"/>
      <c r="BA176" s="136"/>
      <c r="BB176" s="79"/>
      <c r="BC176" s="79"/>
      <c r="BD176" s="79"/>
      <c r="BE176" s="79"/>
      <c r="BF176" s="168"/>
      <c r="BG176" s="74"/>
      <c r="BH176" s="69"/>
      <c r="BI176" s="69"/>
      <c r="BJ176" s="69"/>
      <c r="BK176" s="69"/>
      <c r="BL176" s="69"/>
      <c r="BM176" s="69"/>
      <c r="BN176" s="69"/>
      <c r="BO176" s="69"/>
      <c r="BP176" s="70"/>
      <c r="BQ176" s="70"/>
      <c r="BR176" s="70"/>
      <c r="BS176" s="70"/>
      <c r="BT176" s="70"/>
      <c r="BU176" s="70"/>
      <c r="BV176" s="70"/>
      <c r="BW176" s="71"/>
      <c r="BX176" s="71"/>
      <c r="BY176" s="71"/>
      <c r="BZ176" s="71"/>
      <c r="CA176" s="71"/>
      <c r="CB176" s="71"/>
      <c r="CC176" s="79"/>
      <c r="CD176" s="79"/>
      <c r="CE176" s="79"/>
      <c r="CF176" s="79"/>
      <c r="CG176" s="79"/>
      <c r="CH176" s="79"/>
      <c r="CI176" s="79"/>
      <c r="CJ176" s="79"/>
      <c r="CK176" s="168"/>
      <c r="CL176" s="74"/>
      <c r="CM176" s="130"/>
      <c r="CN176" s="130"/>
      <c r="CO176" s="130"/>
      <c r="CP176" s="130"/>
      <c r="CQ176" s="131"/>
      <c r="CR176" s="131"/>
      <c r="CS176" s="178"/>
      <c r="CT176" s="132"/>
      <c r="CU176" s="131"/>
      <c r="CV176" s="133"/>
      <c r="CW176" s="133"/>
      <c r="CX176" s="133"/>
      <c r="CY176" s="133"/>
      <c r="CZ176" s="133"/>
      <c r="DA176" s="80"/>
      <c r="DB176" s="80"/>
      <c r="DC176" s="80"/>
      <c r="DD176" s="80"/>
      <c r="DE176" s="80"/>
      <c r="DF176" s="80"/>
      <c r="DG176" s="80"/>
      <c r="DH176" s="80"/>
      <c r="DI176" s="173"/>
      <c r="DJ176" s="134"/>
      <c r="DK176" s="130"/>
      <c r="DL176" s="130"/>
      <c r="DM176" s="130"/>
      <c r="DN176" s="130"/>
      <c r="DO176" s="130"/>
      <c r="DP176" s="130"/>
      <c r="DQ176" s="130"/>
      <c r="DR176" s="130"/>
      <c r="DS176" s="132"/>
      <c r="DT176" s="132"/>
      <c r="DU176" s="132"/>
      <c r="DV176" s="178"/>
      <c r="DW176" s="178"/>
      <c r="DX176" s="132"/>
      <c r="DY176" s="132"/>
      <c r="DZ176" s="175"/>
      <c r="EA176" s="175"/>
      <c r="EB176" s="181"/>
      <c r="EC176" s="181"/>
      <c r="ED176" s="175"/>
      <c r="EE176" s="181"/>
      <c r="EF176" s="80"/>
      <c r="EG176" s="80"/>
      <c r="EI176" s="80"/>
      <c r="EK176" s="80"/>
      <c r="EL176" s="173"/>
      <c r="EM176" s="134"/>
      <c r="EN176" s="79"/>
      <c r="EO176" s="79"/>
      <c r="EP176" s="79"/>
      <c r="EQ176" s="79"/>
      <c r="ES176" s="80"/>
      <c r="ET176" s="80"/>
      <c r="EU176" s="80"/>
      <c r="EW176" s="80"/>
      <c r="EX176" s="80"/>
      <c r="EY176" s="80"/>
      <c r="EZ176" s="80"/>
      <c r="FA176" s="80"/>
      <c r="FB176" s="80"/>
    </row>
    <row r="177" spans="1:158" s="118" customFormat="1" x14ac:dyDescent="0.3">
      <c r="A177" s="52"/>
      <c r="B177" s="52"/>
      <c r="C177" s="69"/>
      <c r="D177" s="69"/>
      <c r="E177" s="69"/>
      <c r="F177" s="69"/>
      <c r="G177" s="69"/>
      <c r="H177" s="69"/>
      <c r="I177" s="69"/>
      <c r="J177" s="69"/>
      <c r="K177" s="70"/>
      <c r="L177" s="70"/>
      <c r="M177" s="70"/>
      <c r="N177" s="70"/>
      <c r="O177" s="70"/>
      <c r="P177" s="70"/>
      <c r="Q177" s="70"/>
      <c r="R177" s="71"/>
      <c r="S177" s="71"/>
      <c r="T177" s="71"/>
      <c r="U177" s="71"/>
      <c r="V177" s="71"/>
      <c r="W177" s="71"/>
      <c r="X177" s="79"/>
      <c r="Y177" s="119"/>
      <c r="Z177" s="119"/>
      <c r="AA177" s="79"/>
      <c r="AB177" s="79"/>
      <c r="AC177" s="79"/>
      <c r="AD177" s="79"/>
      <c r="AE177" s="79"/>
      <c r="AF177" s="79"/>
      <c r="AG177" s="168"/>
      <c r="AH177" s="74"/>
      <c r="AI177" s="69"/>
      <c r="AJ177" s="69"/>
      <c r="AK177" s="69"/>
      <c r="AL177" s="69"/>
      <c r="AM177" s="70"/>
      <c r="AN177" s="70"/>
      <c r="AO177" s="70"/>
      <c r="AP177" s="70"/>
      <c r="AQ177" s="70"/>
      <c r="AR177" s="71"/>
      <c r="AS177" s="71"/>
      <c r="AT177" s="71"/>
      <c r="AU177" s="71"/>
      <c r="AV177" s="71"/>
      <c r="AW177" s="79"/>
      <c r="AX177" s="136"/>
      <c r="AY177" s="136"/>
      <c r="AZ177" s="136"/>
      <c r="BA177" s="136"/>
      <c r="BB177" s="79"/>
      <c r="BC177" s="79"/>
      <c r="BD177" s="79"/>
      <c r="BE177" s="79"/>
      <c r="BF177" s="168"/>
      <c r="BG177" s="74"/>
      <c r="BH177" s="69"/>
      <c r="BI177" s="69"/>
      <c r="BJ177" s="69"/>
      <c r="BK177" s="69"/>
      <c r="BL177" s="69"/>
      <c r="BM177" s="69"/>
      <c r="BN177" s="69"/>
      <c r="BO177" s="69"/>
      <c r="BP177" s="70"/>
      <c r="BQ177" s="70"/>
      <c r="BR177" s="70"/>
      <c r="BS177" s="70"/>
      <c r="BT177" s="70"/>
      <c r="BU177" s="70"/>
      <c r="BV177" s="70"/>
      <c r="BW177" s="71"/>
      <c r="BX177" s="71"/>
      <c r="BY177" s="71"/>
      <c r="BZ177" s="71"/>
      <c r="CA177" s="71"/>
      <c r="CB177" s="71"/>
      <c r="CC177" s="79"/>
      <c r="CD177" s="79"/>
      <c r="CE177" s="79"/>
      <c r="CF177" s="79"/>
      <c r="CG177" s="79"/>
      <c r="CH177" s="79"/>
      <c r="CI177" s="79"/>
      <c r="CJ177" s="79"/>
      <c r="CK177" s="168"/>
      <c r="CL177" s="74"/>
      <c r="CM177" s="130"/>
      <c r="CN177" s="130"/>
      <c r="CO177" s="130"/>
      <c r="CP177" s="130"/>
      <c r="CQ177" s="131"/>
      <c r="CR177" s="131"/>
      <c r="CS177" s="178"/>
      <c r="CT177" s="132"/>
      <c r="CU177" s="131"/>
      <c r="CV177" s="133"/>
      <c r="CW177" s="133"/>
      <c r="CX177" s="133"/>
      <c r="CY177" s="133"/>
      <c r="CZ177" s="133"/>
      <c r="DA177" s="80"/>
      <c r="DB177" s="80"/>
      <c r="DC177" s="80"/>
      <c r="DD177" s="80"/>
      <c r="DE177" s="80"/>
      <c r="DF177" s="80"/>
      <c r="DG177" s="80"/>
      <c r="DH177" s="80"/>
      <c r="DI177" s="173"/>
      <c r="DJ177" s="134"/>
      <c r="DK177" s="130"/>
      <c r="DL177" s="130"/>
      <c r="DM177" s="130"/>
      <c r="DN177" s="130"/>
      <c r="DO177" s="130"/>
      <c r="DP177" s="130"/>
      <c r="DQ177" s="130"/>
      <c r="DR177" s="130"/>
      <c r="DS177" s="132"/>
      <c r="DT177" s="132"/>
      <c r="DU177" s="132"/>
      <c r="DV177" s="178"/>
      <c r="DW177" s="178"/>
      <c r="DX177" s="132"/>
      <c r="DY177" s="132"/>
      <c r="DZ177" s="175"/>
      <c r="EA177" s="175"/>
      <c r="EB177" s="181"/>
      <c r="EC177" s="181"/>
      <c r="ED177" s="175"/>
      <c r="EE177" s="181"/>
      <c r="EF177" s="80"/>
      <c r="EG177" s="80"/>
      <c r="EI177" s="80"/>
      <c r="EK177" s="80"/>
      <c r="EL177" s="173"/>
      <c r="EM177" s="134"/>
      <c r="EN177" s="79"/>
      <c r="EO177" s="79"/>
      <c r="EP177" s="79"/>
      <c r="EQ177" s="79"/>
      <c r="ES177" s="80"/>
      <c r="ET177" s="80"/>
      <c r="EU177" s="80"/>
      <c r="EW177" s="80"/>
      <c r="EX177" s="80"/>
      <c r="EY177" s="80"/>
      <c r="EZ177" s="80"/>
      <c r="FA177" s="80"/>
      <c r="FB177" s="80"/>
    </row>
    <row r="178" spans="1:158" s="118" customFormat="1" x14ac:dyDescent="0.3">
      <c r="A178" s="52"/>
      <c r="B178" s="52"/>
      <c r="C178" s="69"/>
      <c r="D178" s="69"/>
      <c r="E178" s="69"/>
      <c r="F178" s="69"/>
      <c r="G178" s="69"/>
      <c r="H178" s="69"/>
      <c r="I178" s="69"/>
      <c r="J178" s="69"/>
      <c r="K178" s="70"/>
      <c r="L178" s="70"/>
      <c r="M178" s="70"/>
      <c r="N178" s="70"/>
      <c r="O178" s="70"/>
      <c r="P178" s="70"/>
      <c r="Q178" s="70"/>
      <c r="R178" s="71"/>
      <c r="S178" s="71"/>
      <c r="T178" s="71"/>
      <c r="U178" s="71"/>
      <c r="V178" s="71"/>
      <c r="W178" s="71"/>
      <c r="X178" s="79"/>
      <c r="Y178" s="119"/>
      <c r="Z178" s="119"/>
      <c r="AA178" s="79"/>
      <c r="AB178" s="79"/>
      <c r="AC178" s="79"/>
      <c r="AD178" s="79"/>
      <c r="AE178" s="79"/>
      <c r="AF178" s="79"/>
      <c r="AG178" s="168"/>
      <c r="AH178" s="74"/>
      <c r="AI178" s="69"/>
      <c r="AJ178" s="69"/>
      <c r="AK178" s="69"/>
      <c r="AL178" s="69"/>
      <c r="AM178" s="70"/>
      <c r="AN178" s="70"/>
      <c r="AO178" s="70"/>
      <c r="AP178" s="70"/>
      <c r="AQ178" s="70"/>
      <c r="AR178" s="71"/>
      <c r="AS178" s="71"/>
      <c r="AT178" s="71"/>
      <c r="AU178" s="71"/>
      <c r="AV178" s="71"/>
      <c r="AW178" s="79"/>
      <c r="AX178" s="136"/>
      <c r="AY178" s="136"/>
      <c r="AZ178" s="136"/>
      <c r="BA178" s="136"/>
      <c r="BB178" s="79"/>
      <c r="BC178" s="79"/>
      <c r="BD178" s="79"/>
      <c r="BE178" s="79"/>
      <c r="BF178" s="168"/>
      <c r="BG178" s="74"/>
      <c r="BH178" s="69"/>
      <c r="BI178" s="69"/>
      <c r="BJ178" s="69"/>
      <c r="BK178" s="69"/>
      <c r="BL178" s="69"/>
      <c r="BM178" s="69"/>
      <c r="BN178" s="69"/>
      <c r="BO178" s="69"/>
      <c r="BP178" s="70"/>
      <c r="BQ178" s="70"/>
      <c r="BR178" s="70"/>
      <c r="BS178" s="70"/>
      <c r="BT178" s="70"/>
      <c r="BU178" s="70"/>
      <c r="BV178" s="70"/>
      <c r="BW178" s="71"/>
      <c r="BX178" s="71"/>
      <c r="BY178" s="71"/>
      <c r="BZ178" s="71"/>
      <c r="CA178" s="71"/>
      <c r="CB178" s="71"/>
      <c r="CC178" s="79"/>
      <c r="CD178" s="79"/>
      <c r="CE178" s="79"/>
      <c r="CF178" s="79"/>
      <c r="CG178" s="79"/>
      <c r="CH178" s="79"/>
      <c r="CI178" s="79"/>
      <c r="CJ178" s="79"/>
      <c r="CK178" s="168"/>
      <c r="CL178" s="74"/>
      <c r="CM178" s="130"/>
      <c r="CN178" s="130"/>
      <c r="CO178" s="130"/>
      <c r="CP178" s="130"/>
      <c r="CQ178" s="131"/>
      <c r="CR178" s="131"/>
      <c r="CS178" s="178"/>
      <c r="CT178" s="132"/>
      <c r="CU178" s="131"/>
      <c r="CV178" s="133"/>
      <c r="CW178" s="133"/>
      <c r="CX178" s="133"/>
      <c r="CY178" s="133"/>
      <c r="CZ178" s="133"/>
      <c r="DA178" s="80"/>
      <c r="DB178" s="80"/>
      <c r="DC178" s="80"/>
      <c r="DD178" s="80"/>
      <c r="DE178" s="80"/>
      <c r="DF178" s="80"/>
      <c r="DG178" s="80"/>
      <c r="DH178" s="80"/>
      <c r="DI178" s="173"/>
      <c r="DJ178" s="134"/>
      <c r="DK178" s="130"/>
      <c r="DL178" s="130"/>
      <c r="DM178" s="130"/>
      <c r="DN178" s="130"/>
      <c r="DO178" s="130"/>
      <c r="DP178" s="130"/>
      <c r="DQ178" s="130"/>
      <c r="DR178" s="130"/>
      <c r="DS178" s="132"/>
      <c r="DT178" s="132"/>
      <c r="DU178" s="132"/>
      <c r="DV178" s="178"/>
      <c r="DW178" s="178"/>
      <c r="DX178" s="132"/>
      <c r="DY178" s="132"/>
      <c r="DZ178" s="175"/>
      <c r="EA178" s="175"/>
      <c r="EB178" s="181"/>
      <c r="EC178" s="181"/>
      <c r="ED178" s="175"/>
      <c r="EE178" s="181"/>
      <c r="EF178" s="80"/>
      <c r="EG178" s="80"/>
      <c r="EI178" s="80"/>
      <c r="EK178" s="80"/>
      <c r="EL178" s="173"/>
      <c r="EM178" s="134"/>
      <c r="EN178" s="79"/>
      <c r="EO178" s="79"/>
      <c r="EP178" s="79"/>
      <c r="EQ178" s="79"/>
      <c r="ES178" s="80"/>
      <c r="ET178" s="80"/>
      <c r="EU178" s="80"/>
      <c r="EW178" s="80"/>
      <c r="EX178" s="80"/>
      <c r="EY178" s="80"/>
      <c r="EZ178" s="80"/>
      <c r="FA178" s="80"/>
      <c r="FB178" s="80"/>
    </row>
    <row r="179" spans="1:158" s="118" customFormat="1" x14ac:dyDescent="0.3">
      <c r="A179" s="52"/>
      <c r="B179" s="52"/>
      <c r="C179" s="69"/>
      <c r="D179" s="69"/>
      <c r="E179" s="69"/>
      <c r="F179" s="69"/>
      <c r="G179" s="69"/>
      <c r="H179" s="69"/>
      <c r="I179" s="69"/>
      <c r="J179" s="69"/>
      <c r="K179" s="70"/>
      <c r="L179" s="70"/>
      <c r="M179" s="70"/>
      <c r="N179" s="70"/>
      <c r="O179" s="70"/>
      <c r="P179" s="70"/>
      <c r="Q179" s="70"/>
      <c r="R179" s="71"/>
      <c r="S179" s="71"/>
      <c r="T179" s="71"/>
      <c r="U179" s="71"/>
      <c r="V179" s="71"/>
      <c r="W179" s="71"/>
      <c r="X179" s="79"/>
      <c r="Y179" s="119"/>
      <c r="Z179" s="119"/>
      <c r="AA179" s="79"/>
      <c r="AB179" s="79"/>
      <c r="AC179" s="79"/>
      <c r="AD179" s="79"/>
      <c r="AE179" s="79"/>
      <c r="AF179" s="79"/>
      <c r="AG179" s="168"/>
      <c r="AH179" s="74"/>
      <c r="AI179" s="69"/>
      <c r="AJ179" s="69"/>
      <c r="AK179" s="69"/>
      <c r="AL179" s="69"/>
      <c r="AM179" s="70"/>
      <c r="AN179" s="70"/>
      <c r="AO179" s="70"/>
      <c r="AP179" s="70"/>
      <c r="AQ179" s="70"/>
      <c r="AR179" s="71"/>
      <c r="AS179" s="71"/>
      <c r="AT179" s="71"/>
      <c r="AU179" s="71"/>
      <c r="AV179" s="71"/>
      <c r="AW179" s="79"/>
      <c r="AX179" s="136"/>
      <c r="AY179" s="136"/>
      <c r="AZ179" s="136"/>
      <c r="BA179" s="136"/>
      <c r="BB179" s="79"/>
      <c r="BC179" s="79"/>
      <c r="BD179" s="79"/>
      <c r="BE179" s="79"/>
      <c r="BF179" s="168"/>
      <c r="BG179" s="74"/>
      <c r="BH179" s="69"/>
      <c r="BI179" s="69"/>
      <c r="BJ179" s="69"/>
      <c r="BK179" s="69"/>
      <c r="BL179" s="69"/>
      <c r="BM179" s="69"/>
      <c r="BN179" s="69"/>
      <c r="BO179" s="69"/>
      <c r="BP179" s="70"/>
      <c r="BQ179" s="70"/>
      <c r="BR179" s="70"/>
      <c r="BS179" s="70"/>
      <c r="BT179" s="70"/>
      <c r="BU179" s="70"/>
      <c r="BV179" s="70"/>
      <c r="BW179" s="71"/>
      <c r="BX179" s="71"/>
      <c r="BY179" s="71"/>
      <c r="BZ179" s="71"/>
      <c r="CA179" s="71"/>
      <c r="CB179" s="71"/>
      <c r="CC179" s="79"/>
      <c r="CD179" s="79"/>
      <c r="CE179" s="79"/>
      <c r="CF179" s="79"/>
      <c r="CG179" s="79"/>
      <c r="CH179" s="79"/>
      <c r="CI179" s="79"/>
      <c r="CJ179" s="79"/>
      <c r="CK179" s="168"/>
      <c r="CL179" s="74"/>
      <c r="CM179" s="130"/>
      <c r="CN179" s="130"/>
      <c r="CO179" s="130"/>
      <c r="CP179" s="130"/>
      <c r="CQ179" s="131"/>
      <c r="CR179" s="131"/>
      <c r="CS179" s="178"/>
      <c r="CT179" s="132"/>
      <c r="CU179" s="131"/>
      <c r="CV179" s="133"/>
      <c r="CW179" s="133"/>
      <c r="CX179" s="133"/>
      <c r="CY179" s="133"/>
      <c r="CZ179" s="133"/>
      <c r="DA179" s="80"/>
      <c r="DB179" s="80"/>
      <c r="DC179" s="80"/>
      <c r="DD179" s="80"/>
      <c r="DE179" s="80"/>
      <c r="DF179" s="80"/>
      <c r="DG179" s="80"/>
      <c r="DH179" s="80"/>
      <c r="DI179" s="173"/>
      <c r="DJ179" s="134"/>
      <c r="DK179" s="130"/>
      <c r="DL179" s="130"/>
      <c r="DM179" s="130"/>
      <c r="DN179" s="130"/>
      <c r="DO179" s="130"/>
      <c r="DP179" s="130"/>
      <c r="DQ179" s="130"/>
      <c r="DR179" s="130"/>
      <c r="DS179" s="132"/>
      <c r="DT179" s="132"/>
      <c r="DU179" s="132"/>
      <c r="DV179" s="178"/>
      <c r="DW179" s="178"/>
      <c r="DX179" s="132"/>
      <c r="DY179" s="132"/>
      <c r="DZ179" s="175"/>
      <c r="EA179" s="175"/>
      <c r="EB179" s="181"/>
      <c r="EC179" s="181"/>
      <c r="ED179" s="175"/>
      <c r="EE179" s="181"/>
      <c r="EF179" s="80"/>
      <c r="EG179" s="80"/>
      <c r="EI179" s="80"/>
      <c r="EK179" s="80"/>
      <c r="EL179" s="173"/>
      <c r="EM179" s="134"/>
      <c r="EN179" s="79"/>
      <c r="EO179" s="79"/>
      <c r="EP179" s="79"/>
      <c r="EQ179" s="79"/>
      <c r="ES179" s="80"/>
      <c r="ET179" s="80"/>
      <c r="EU179" s="80"/>
      <c r="EW179" s="80"/>
      <c r="EX179" s="80"/>
      <c r="EY179" s="80"/>
      <c r="EZ179" s="80"/>
      <c r="FA179" s="80"/>
      <c r="FB179" s="80"/>
    </row>
    <row r="180" spans="1:158" s="118" customFormat="1" x14ac:dyDescent="0.3">
      <c r="A180" s="52"/>
      <c r="B180" s="52"/>
      <c r="C180" s="69"/>
      <c r="D180" s="69"/>
      <c r="E180" s="69"/>
      <c r="F180" s="69"/>
      <c r="G180" s="69"/>
      <c r="H180" s="69"/>
      <c r="I180" s="69"/>
      <c r="J180" s="69"/>
      <c r="K180" s="70"/>
      <c r="L180" s="70"/>
      <c r="M180" s="70"/>
      <c r="N180" s="70"/>
      <c r="O180" s="70"/>
      <c r="P180" s="70"/>
      <c r="Q180" s="70"/>
      <c r="R180" s="71"/>
      <c r="S180" s="71"/>
      <c r="T180" s="71"/>
      <c r="U180" s="71"/>
      <c r="V180" s="71"/>
      <c r="W180" s="71"/>
      <c r="X180" s="79"/>
      <c r="Y180" s="119"/>
      <c r="Z180" s="119"/>
      <c r="AA180" s="79"/>
      <c r="AB180" s="79"/>
      <c r="AC180" s="79"/>
      <c r="AD180" s="79"/>
      <c r="AE180" s="79"/>
      <c r="AF180" s="79"/>
      <c r="AG180" s="168"/>
      <c r="AH180" s="74"/>
      <c r="AI180" s="69"/>
      <c r="AJ180" s="69"/>
      <c r="AK180" s="69"/>
      <c r="AL180" s="69"/>
      <c r="AM180" s="70"/>
      <c r="AN180" s="70"/>
      <c r="AO180" s="70"/>
      <c r="AP180" s="70"/>
      <c r="AQ180" s="70"/>
      <c r="AR180" s="71"/>
      <c r="AS180" s="71"/>
      <c r="AT180" s="71"/>
      <c r="AU180" s="71"/>
      <c r="AV180" s="71"/>
      <c r="AW180" s="79"/>
      <c r="AX180" s="136"/>
      <c r="AY180" s="136"/>
      <c r="AZ180" s="136"/>
      <c r="BA180" s="136"/>
      <c r="BB180" s="79"/>
      <c r="BC180" s="79"/>
      <c r="BD180" s="79"/>
      <c r="BE180" s="79"/>
      <c r="BF180" s="168"/>
      <c r="BG180" s="74"/>
      <c r="BH180" s="69"/>
      <c r="BI180" s="69"/>
      <c r="BJ180" s="69"/>
      <c r="BK180" s="69"/>
      <c r="BL180" s="69"/>
      <c r="BM180" s="69"/>
      <c r="BN180" s="69"/>
      <c r="BO180" s="69"/>
      <c r="BP180" s="70"/>
      <c r="BQ180" s="70"/>
      <c r="BR180" s="70"/>
      <c r="BS180" s="70"/>
      <c r="BT180" s="70"/>
      <c r="BU180" s="70"/>
      <c r="BV180" s="70"/>
      <c r="BW180" s="71"/>
      <c r="BX180" s="71"/>
      <c r="BY180" s="71"/>
      <c r="BZ180" s="71"/>
      <c r="CA180" s="71"/>
      <c r="CB180" s="71"/>
      <c r="CC180" s="79"/>
      <c r="CD180" s="79"/>
      <c r="CE180" s="79"/>
      <c r="CF180" s="79"/>
      <c r="CG180" s="79"/>
      <c r="CH180" s="79"/>
      <c r="CI180" s="79"/>
      <c r="CJ180" s="79"/>
      <c r="CK180" s="168"/>
      <c r="CL180" s="74"/>
      <c r="CM180" s="130"/>
      <c r="CN180" s="130"/>
      <c r="CO180" s="130"/>
      <c r="CP180" s="130"/>
      <c r="CQ180" s="131"/>
      <c r="CR180" s="131"/>
      <c r="CS180" s="178"/>
      <c r="CT180" s="132"/>
      <c r="CU180" s="131"/>
      <c r="CV180" s="133"/>
      <c r="CW180" s="133"/>
      <c r="CX180" s="133"/>
      <c r="CY180" s="133"/>
      <c r="CZ180" s="133"/>
      <c r="DA180" s="80"/>
      <c r="DB180" s="80"/>
      <c r="DC180" s="80"/>
      <c r="DD180" s="80"/>
      <c r="DE180" s="80"/>
      <c r="DF180" s="80"/>
      <c r="DG180" s="80"/>
      <c r="DH180" s="80"/>
      <c r="DI180" s="173"/>
      <c r="DJ180" s="134"/>
      <c r="DK180" s="130"/>
      <c r="DL180" s="130"/>
      <c r="DM180" s="130"/>
      <c r="DN180" s="130"/>
      <c r="DO180" s="130"/>
      <c r="DP180" s="130"/>
      <c r="DQ180" s="130"/>
      <c r="DR180" s="130"/>
      <c r="DS180" s="132"/>
      <c r="DT180" s="132"/>
      <c r="DU180" s="132"/>
      <c r="DV180" s="178"/>
      <c r="DW180" s="178"/>
      <c r="DX180" s="132"/>
      <c r="DY180" s="132"/>
      <c r="DZ180" s="175"/>
      <c r="EA180" s="175"/>
      <c r="EB180" s="181"/>
      <c r="EC180" s="181"/>
      <c r="ED180" s="175"/>
      <c r="EE180" s="181"/>
      <c r="EF180" s="80"/>
      <c r="EG180" s="80"/>
      <c r="EI180" s="80"/>
      <c r="EK180" s="80"/>
      <c r="EL180" s="173"/>
      <c r="EM180" s="134"/>
      <c r="EN180" s="79"/>
      <c r="EO180" s="79"/>
      <c r="EP180" s="79"/>
      <c r="EQ180" s="79"/>
      <c r="ES180" s="80"/>
      <c r="ET180" s="80"/>
      <c r="EU180" s="80"/>
      <c r="EW180" s="80"/>
      <c r="EX180" s="80"/>
      <c r="EY180" s="80"/>
      <c r="EZ180" s="80"/>
      <c r="FA180" s="80"/>
      <c r="FB180" s="80"/>
    </row>
    <row r="181" spans="1:158" s="118" customFormat="1" x14ac:dyDescent="0.3">
      <c r="A181" s="52"/>
      <c r="B181" s="52"/>
      <c r="C181" s="69"/>
      <c r="D181" s="69"/>
      <c r="E181" s="69"/>
      <c r="F181" s="69"/>
      <c r="G181" s="69"/>
      <c r="H181" s="69"/>
      <c r="I181" s="69"/>
      <c r="J181" s="69"/>
      <c r="K181" s="70"/>
      <c r="L181" s="70"/>
      <c r="M181" s="70"/>
      <c r="N181" s="70"/>
      <c r="O181" s="70"/>
      <c r="P181" s="70"/>
      <c r="Q181" s="70"/>
      <c r="R181" s="71"/>
      <c r="S181" s="71"/>
      <c r="T181" s="71"/>
      <c r="U181" s="71"/>
      <c r="V181" s="71"/>
      <c r="W181" s="71"/>
      <c r="X181" s="79"/>
      <c r="Y181" s="119"/>
      <c r="Z181" s="119"/>
      <c r="AA181" s="79"/>
      <c r="AB181" s="79"/>
      <c r="AC181" s="79"/>
      <c r="AD181" s="79"/>
      <c r="AE181" s="79"/>
      <c r="AF181" s="79"/>
      <c r="AG181" s="168"/>
      <c r="AH181" s="74"/>
      <c r="AI181" s="69"/>
      <c r="AJ181" s="69"/>
      <c r="AK181" s="69"/>
      <c r="AL181" s="69"/>
      <c r="AM181" s="70"/>
      <c r="AN181" s="70"/>
      <c r="AO181" s="70"/>
      <c r="AP181" s="70"/>
      <c r="AQ181" s="70"/>
      <c r="AR181" s="71"/>
      <c r="AS181" s="71"/>
      <c r="AT181" s="71"/>
      <c r="AU181" s="71"/>
      <c r="AV181" s="71"/>
      <c r="AW181" s="79"/>
      <c r="AX181" s="136"/>
      <c r="AY181" s="136"/>
      <c r="AZ181" s="136"/>
      <c r="BA181" s="136"/>
      <c r="BB181" s="79"/>
      <c r="BC181" s="79"/>
      <c r="BD181" s="79"/>
      <c r="BE181" s="79"/>
      <c r="BF181" s="168"/>
      <c r="BG181" s="74"/>
      <c r="BH181" s="69"/>
      <c r="BI181" s="69"/>
      <c r="BJ181" s="69"/>
      <c r="BK181" s="69"/>
      <c r="BL181" s="69"/>
      <c r="BM181" s="69"/>
      <c r="BN181" s="69"/>
      <c r="BO181" s="69"/>
      <c r="BP181" s="70"/>
      <c r="BQ181" s="70"/>
      <c r="BR181" s="70"/>
      <c r="BS181" s="70"/>
      <c r="BT181" s="70"/>
      <c r="BU181" s="70"/>
      <c r="BV181" s="70"/>
      <c r="BW181" s="71"/>
      <c r="BX181" s="71"/>
      <c r="BY181" s="71"/>
      <c r="BZ181" s="71"/>
      <c r="CA181" s="71"/>
      <c r="CB181" s="71"/>
      <c r="CC181" s="79"/>
      <c r="CD181" s="79"/>
      <c r="CE181" s="79"/>
      <c r="CF181" s="79"/>
      <c r="CG181" s="79"/>
      <c r="CH181" s="79"/>
      <c r="CI181" s="79"/>
      <c r="CJ181" s="79"/>
      <c r="CK181" s="168"/>
      <c r="CL181" s="74"/>
      <c r="CM181" s="130"/>
      <c r="CN181" s="130"/>
      <c r="CO181" s="130"/>
      <c r="CP181" s="130"/>
      <c r="CQ181" s="131"/>
      <c r="CR181" s="131"/>
      <c r="CS181" s="178"/>
      <c r="CT181" s="132"/>
      <c r="CU181" s="131"/>
      <c r="CV181" s="133"/>
      <c r="CW181" s="133"/>
      <c r="CX181" s="133"/>
      <c r="CY181" s="133"/>
      <c r="CZ181" s="133"/>
      <c r="DA181" s="80"/>
      <c r="DB181" s="80"/>
      <c r="DC181" s="80"/>
      <c r="DD181" s="80"/>
      <c r="DE181" s="80"/>
      <c r="DF181" s="80"/>
      <c r="DG181" s="80"/>
      <c r="DH181" s="80"/>
      <c r="DI181" s="173"/>
      <c r="DJ181" s="134"/>
      <c r="DK181" s="130"/>
      <c r="DL181" s="130"/>
      <c r="DM181" s="130"/>
      <c r="DN181" s="130"/>
      <c r="DO181" s="130"/>
      <c r="DP181" s="130"/>
      <c r="DQ181" s="130"/>
      <c r="DR181" s="130"/>
      <c r="DS181" s="132"/>
      <c r="DT181" s="132"/>
      <c r="DU181" s="132"/>
      <c r="DV181" s="178"/>
      <c r="DW181" s="178"/>
      <c r="DX181" s="132"/>
      <c r="DY181" s="132"/>
      <c r="DZ181" s="175"/>
      <c r="EA181" s="175"/>
      <c r="EB181" s="181"/>
      <c r="EC181" s="181"/>
      <c r="ED181" s="175"/>
      <c r="EE181" s="181"/>
      <c r="EF181" s="80"/>
      <c r="EG181" s="80"/>
      <c r="EI181" s="80"/>
      <c r="EK181" s="80"/>
      <c r="EL181" s="173"/>
      <c r="EM181" s="134"/>
      <c r="EN181" s="79"/>
      <c r="EO181" s="79"/>
      <c r="EP181" s="79"/>
      <c r="EQ181" s="79"/>
      <c r="ES181" s="80"/>
      <c r="ET181" s="80"/>
      <c r="EU181" s="80"/>
      <c r="EW181" s="80"/>
      <c r="EX181" s="80"/>
      <c r="EY181" s="80"/>
      <c r="EZ181" s="80"/>
      <c r="FA181" s="80"/>
      <c r="FB181" s="80"/>
    </row>
    <row r="182" spans="1:158" s="118" customFormat="1" x14ac:dyDescent="0.3">
      <c r="A182" s="52"/>
      <c r="B182" s="52"/>
      <c r="C182" s="69"/>
      <c r="D182" s="69"/>
      <c r="E182" s="69"/>
      <c r="F182" s="69"/>
      <c r="G182" s="69"/>
      <c r="H182" s="69"/>
      <c r="I182" s="69"/>
      <c r="J182" s="69"/>
      <c r="K182" s="70"/>
      <c r="L182" s="70"/>
      <c r="M182" s="70"/>
      <c r="N182" s="70"/>
      <c r="O182" s="70"/>
      <c r="P182" s="70"/>
      <c r="Q182" s="70"/>
      <c r="R182" s="71"/>
      <c r="S182" s="71"/>
      <c r="T182" s="71"/>
      <c r="U182" s="71"/>
      <c r="V182" s="71"/>
      <c r="W182" s="71"/>
      <c r="X182" s="79"/>
      <c r="Y182" s="119"/>
      <c r="Z182" s="119"/>
      <c r="AA182" s="79"/>
      <c r="AB182" s="79"/>
      <c r="AC182" s="79"/>
      <c r="AD182" s="79"/>
      <c r="AE182" s="79"/>
      <c r="AF182" s="79"/>
      <c r="AG182" s="168"/>
      <c r="AH182" s="74"/>
      <c r="AI182" s="69"/>
      <c r="AJ182" s="69"/>
      <c r="AK182" s="69"/>
      <c r="AL182" s="69"/>
      <c r="AM182" s="70"/>
      <c r="AN182" s="70"/>
      <c r="AO182" s="70"/>
      <c r="AP182" s="70"/>
      <c r="AQ182" s="70"/>
      <c r="AR182" s="71"/>
      <c r="AS182" s="71"/>
      <c r="AT182" s="71"/>
      <c r="AU182" s="71"/>
      <c r="AV182" s="71"/>
      <c r="AW182" s="79"/>
      <c r="AX182" s="136"/>
      <c r="AY182" s="136"/>
      <c r="AZ182" s="136"/>
      <c r="BA182" s="136"/>
      <c r="BB182" s="79"/>
      <c r="BC182" s="79"/>
      <c r="BD182" s="79"/>
      <c r="BE182" s="79"/>
      <c r="BF182" s="168"/>
      <c r="BG182" s="74"/>
      <c r="BH182" s="69"/>
      <c r="BI182" s="69"/>
      <c r="BJ182" s="69"/>
      <c r="BK182" s="69"/>
      <c r="BL182" s="69"/>
      <c r="BM182" s="69"/>
      <c r="BN182" s="69"/>
      <c r="BO182" s="69"/>
      <c r="BP182" s="70"/>
      <c r="BQ182" s="70"/>
      <c r="BR182" s="70"/>
      <c r="BS182" s="70"/>
      <c r="BT182" s="70"/>
      <c r="BU182" s="70"/>
      <c r="BV182" s="70"/>
      <c r="BW182" s="71"/>
      <c r="BX182" s="71"/>
      <c r="BY182" s="71"/>
      <c r="BZ182" s="71"/>
      <c r="CA182" s="71"/>
      <c r="CB182" s="71"/>
      <c r="CC182" s="79"/>
      <c r="CD182" s="79"/>
      <c r="CE182" s="79"/>
      <c r="CF182" s="79"/>
      <c r="CG182" s="79"/>
      <c r="CH182" s="79"/>
      <c r="CI182" s="79"/>
      <c r="CJ182" s="79"/>
      <c r="CK182" s="168"/>
      <c r="CL182" s="74"/>
      <c r="CM182" s="130"/>
      <c r="CN182" s="130"/>
      <c r="CO182" s="130"/>
      <c r="CP182" s="130"/>
      <c r="CQ182" s="131"/>
      <c r="CR182" s="131"/>
      <c r="CS182" s="178"/>
      <c r="CT182" s="132"/>
      <c r="CU182" s="131"/>
      <c r="CV182" s="133"/>
      <c r="CW182" s="133"/>
      <c r="CX182" s="133"/>
      <c r="CY182" s="133"/>
      <c r="CZ182" s="133"/>
      <c r="DA182" s="80"/>
      <c r="DB182" s="80"/>
      <c r="DC182" s="80"/>
      <c r="DD182" s="80"/>
      <c r="DE182" s="80"/>
      <c r="DF182" s="80"/>
      <c r="DG182" s="80"/>
      <c r="DH182" s="80"/>
      <c r="DI182" s="173"/>
      <c r="DJ182" s="134"/>
      <c r="DK182" s="130"/>
      <c r="DL182" s="130"/>
      <c r="DM182" s="130"/>
      <c r="DN182" s="130"/>
      <c r="DO182" s="130"/>
      <c r="DP182" s="130"/>
      <c r="DQ182" s="130"/>
      <c r="DR182" s="130"/>
      <c r="DS182" s="132"/>
      <c r="DT182" s="132"/>
      <c r="DU182" s="132"/>
      <c r="DV182" s="178"/>
      <c r="DW182" s="178"/>
      <c r="DX182" s="132"/>
      <c r="DY182" s="132"/>
      <c r="DZ182" s="175"/>
      <c r="EA182" s="175"/>
      <c r="EB182" s="181"/>
      <c r="EC182" s="181"/>
      <c r="ED182" s="175"/>
      <c r="EE182" s="181"/>
      <c r="EF182" s="80"/>
      <c r="EG182" s="80"/>
      <c r="EI182" s="80"/>
      <c r="EK182" s="80"/>
      <c r="EL182" s="173"/>
      <c r="EM182" s="134"/>
      <c r="EN182" s="79"/>
      <c r="EO182" s="79"/>
      <c r="EP182" s="79"/>
      <c r="EQ182" s="79"/>
      <c r="ES182" s="80"/>
      <c r="ET182" s="80"/>
      <c r="EU182" s="80"/>
      <c r="EW182" s="80"/>
      <c r="EX182" s="80"/>
      <c r="EY182" s="80"/>
      <c r="EZ182" s="80"/>
      <c r="FA182" s="80"/>
      <c r="FB182" s="80"/>
    </row>
    <row r="183" spans="1:158" s="118" customFormat="1" x14ac:dyDescent="0.3">
      <c r="A183" s="52"/>
      <c r="B183" s="52"/>
      <c r="C183" s="69"/>
      <c r="D183" s="69"/>
      <c r="E183" s="69"/>
      <c r="F183" s="69"/>
      <c r="G183" s="69"/>
      <c r="H183" s="69"/>
      <c r="I183" s="69"/>
      <c r="J183" s="69"/>
      <c r="K183" s="70"/>
      <c r="L183" s="70"/>
      <c r="M183" s="70"/>
      <c r="N183" s="70"/>
      <c r="O183" s="70"/>
      <c r="P183" s="70"/>
      <c r="Q183" s="70"/>
      <c r="R183" s="71"/>
      <c r="S183" s="71"/>
      <c r="T183" s="71"/>
      <c r="U183" s="71"/>
      <c r="V183" s="71"/>
      <c r="W183" s="71"/>
      <c r="X183" s="79"/>
      <c r="Y183" s="119"/>
      <c r="Z183" s="119"/>
      <c r="AA183" s="79"/>
      <c r="AB183" s="79"/>
      <c r="AC183" s="79"/>
      <c r="AD183" s="79"/>
      <c r="AE183" s="79"/>
      <c r="AF183" s="79"/>
      <c r="AG183" s="168"/>
      <c r="AH183" s="74"/>
      <c r="AI183" s="69"/>
      <c r="AJ183" s="69"/>
      <c r="AK183" s="69"/>
      <c r="AL183" s="69"/>
      <c r="AM183" s="70"/>
      <c r="AN183" s="70"/>
      <c r="AO183" s="70"/>
      <c r="AP183" s="70"/>
      <c r="AQ183" s="70"/>
      <c r="AR183" s="71"/>
      <c r="AS183" s="71"/>
      <c r="AT183" s="71"/>
      <c r="AU183" s="71"/>
      <c r="AV183" s="71"/>
      <c r="AW183" s="79"/>
      <c r="AX183" s="136"/>
      <c r="AY183" s="136"/>
      <c r="AZ183" s="136"/>
      <c r="BA183" s="136"/>
      <c r="BB183" s="79"/>
      <c r="BC183" s="79"/>
      <c r="BD183" s="79"/>
      <c r="BE183" s="79"/>
      <c r="BF183" s="168"/>
      <c r="BG183" s="74"/>
      <c r="BH183" s="69"/>
      <c r="BI183" s="69"/>
      <c r="BJ183" s="69"/>
      <c r="BK183" s="69"/>
      <c r="BL183" s="69"/>
      <c r="BM183" s="69"/>
      <c r="BN183" s="69"/>
      <c r="BO183" s="69"/>
      <c r="BP183" s="70"/>
      <c r="BQ183" s="70"/>
      <c r="BR183" s="70"/>
      <c r="BS183" s="70"/>
      <c r="BT183" s="70"/>
      <c r="BU183" s="70"/>
      <c r="BV183" s="70"/>
      <c r="BW183" s="71"/>
      <c r="BX183" s="71"/>
      <c r="BY183" s="71"/>
      <c r="BZ183" s="71"/>
      <c r="CA183" s="71"/>
      <c r="CB183" s="71"/>
      <c r="CC183" s="79"/>
      <c r="CD183" s="79"/>
      <c r="CE183" s="79"/>
      <c r="CF183" s="79"/>
      <c r="CG183" s="79"/>
      <c r="CH183" s="79"/>
      <c r="CI183" s="79"/>
      <c r="CJ183" s="79"/>
      <c r="CK183" s="168"/>
      <c r="CL183" s="74"/>
      <c r="CM183" s="130"/>
      <c r="CN183" s="130"/>
      <c r="CO183" s="130"/>
      <c r="CP183" s="130"/>
      <c r="CQ183" s="131"/>
      <c r="CR183" s="131"/>
      <c r="CS183" s="178"/>
      <c r="CT183" s="132"/>
      <c r="CU183" s="131"/>
      <c r="CV183" s="133"/>
      <c r="CW183" s="133"/>
      <c r="CX183" s="133"/>
      <c r="CY183" s="133"/>
      <c r="CZ183" s="133"/>
      <c r="DA183" s="80"/>
      <c r="DB183" s="80"/>
      <c r="DC183" s="80"/>
      <c r="DD183" s="80"/>
      <c r="DE183" s="80"/>
      <c r="DF183" s="80"/>
      <c r="DG183" s="80"/>
      <c r="DH183" s="80"/>
      <c r="DI183" s="173"/>
      <c r="DJ183" s="134"/>
      <c r="DK183" s="130"/>
      <c r="DL183" s="130"/>
      <c r="DM183" s="130"/>
      <c r="DN183" s="130"/>
      <c r="DO183" s="130"/>
      <c r="DP183" s="130"/>
      <c r="DQ183" s="130"/>
      <c r="DR183" s="130"/>
      <c r="DS183" s="132"/>
      <c r="DT183" s="132"/>
      <c r="DU183" s="132"/>
      <c r="DV183" s="178"/>
      <c r="DW183" s="178"/>
      <c r="DX183" s="132"/>
      <c r="DY183" s="132"/>
      <c r="DZ183" s="175"/>
      <c r="EA183" s="175"/>
      <c r="EB183" s="181"/>
      <c r="EC183" s="181"/>
      <c r="ED183" s="175"/>
      <c r="EE183" s="181"/>
      <c r="EF183" s="80"/>
      <c r="EG183" s="80"/>
      <c r="EI183" s="80"/>
      <c r="EK183" s="80"/>
      <c r="EL183" s="173"/>
      <c r="EM183" s="134"/>
      <c r="EN183" s="79"/>
      <c r="EO183" s="79"/>
      <c r="EP183" s="79"/>
      <c r="EQ183" s="79"/>
      <c r="ES183" s="80"/>
      <c r="ET183" s="80"/>
      <c r="EU183" s="80"/>
      <c r="EW183" s="80"/>
      <c r="EX183" s="80"/>
      <c r="EY183" s="80"/>
      <c r="EZ183" s="80"/>
      <c r="FA183" s="80"/>
      <c r="FB183" s="80"/>
    </row>
    <row r="184" spans="1:158" s="118" customFormat="1" x14ac:dyDescent="0.3">
      <c r="A184" s="52"/>
      <c r="B184" s="52"/>
      <c r="C184" s="69"/>
      <c r="D184" s="69"/>
      <c r="E184" s="69"/>
      <c r="F184" s="69"/>
      <c r="G184" s="69"/>
      <c r="H184" s="69"/>
      <c r="I184" s="69"/>
      <c r="J184" s="69"/>
      <c r="K184" s="70"/>
      <c r="L184" s="70"/>
      <c r="M184" s="70"/>
      <c r="N184" s="70"/>
      <c r="O184" s="70"/>
      <c r="P184" s="70"/>
      <c r="Q184" s="70"/>
      <c r="R184" s="71"/>
      <c r="S184" s="71"/>
      <c r="T184" s="71"/>
      <c r="U184" s="71"/>
      <c r="V184" s="71"/>
      <c r="W184" s="71"/>
      <c r="X184" s="79"/>
      <c r="Y184" s="119"/>
      <c r="Z184" s="119"/>
      <c r="AA184" s="79"/>
      <c r="AB184" s="79"/>
      <c r="AC184" s="79"/>
      <c r="AD184" s="79"/>
      <c r="AE184" s="79"/>
      <c r="AF184" s="79"/>
      <c r="AG184" s="168"/>
      <c r="AH184" s="74"/>
      <c r="AI184" s="69"/>
      <c r="AJ184" s="69"/>
      <c r="AK184" s="69"/>
      <c r="AL184" s="69"/>
      <c r="AM184" s="70"/>
      <c r="AN184" s="70"/>
      <c r="AO184" s="70"/>
      <c r="AP184" s="70"/>
      <c r="AQ184" s="70"/>
      <c r="AR184" s="71"/>
      <c r="AS184" s="71"/>
      <c r="AT184" s="71"/>
      <c r="AU184" s="71"/>
      <c r="AV184" s="71"/>
      <c r="AW184" s="79"/>
      <c r="AX184" s="136"/>
      <c r="AY184" s="136"/>
      <c r="AZ184" s="136"/>
      <c r="BA184" s="136"/>
      <c r="BB184" s="79"/>
      <c r="BC184" s="79"/>
      <c r="BD184" s="79"/>
      <c r="BE184" s="79"/>
      <c r="BF184" s="168"/>
      <c r="BG184" s="74"/>
      <c r="BH184" s="69"/>
      <c r="BI184" s="69"/>
      <c r="BJ184" s="69"/>
      <c r="BK184" s="69"/>
      <c r="BL184" s="69"/>
      <c r="BM184" s="69"/>
      <c r="BN184" s="69"/>
      <c r="BO184" s="69"/>
      <c r="BP184" s="70"/>
      <c r="BQ184" s="70"/>
      <c r="BR184" s="70"/>
      <c r="BS184" s="70"/>
      <c r="BT184" s="70"/>
      <c r="BU184" s="70"/>
      <c r="BV184" s="70"/>
      <c r="BW184" s="71"/>
      <c r="BX184" s="71"/>
      <c r="BY184" s="71"/>
      <c r="BZ184" s="71"/>
      <c r="CA184" s="71"/>
      <c r="CB184" s="71"/>
      <c r="CC184" s="79"/>
      <c r="CD184" s="79"/>
      <c r="CE184" s="79"/>
      <c r="CF184" s="79"/>
      <c r="CG184" s="79"/>
      <c r="CH184" s="79"/>
      <c r="CI184" s="79"/>
      <c r="CJ184" s="79"/>
      <c r="CK184" s="168"/>
      <c r="CL184" s="74"/>
      <c r="CM184" s="130"/>
      <c r="CN184" s="130"/>
      <c r="CO184" s="130"/>
      <c r="CP184" s="130"/>
      <c r="CQ184" s="131"/>
      <c r="CR184" s="131"/>
      <c r="CS184" s="178"/>
      <c r="CT184" s="132"/>
      <c r="CU184" s="131"/>
      <c r="CV184" s="133"/>
      <c r="CW184" s="133"/>
      <c r="CX184" s="133"/>
      <c r="CY184" s="133"/>
      <c r="CZ184" s="133"/>
      <c r="DA184" s="80"/>
      <c r="DB184" s="80"/>
      <c r="DC184" s="80"/>
      <c r="DD184" s="80"/>
      <c r="DE184" s="80"/>
      <c r="DF184" s="80"/>
      <c r="DG184" s="80"/>
      <c r="DH184" s="80"/>
      <c r="DI184" s="173"/>
      <c r="DJ184" s="134"/>
      <c r="DK184" s="130"/>
      <c r="DL184" s="130"/>
      <c r="DM184" s="130"/>
      <c r="DN184" s="130"/>
      <c r="DO184" s="130"/>
      <c r="DP184" s="130"/>
      <c r="DQ184" s="130"/>
      <c r="DR184" s="130"/>
      <c r="DS184" s="132"/>
      <c r="DT184" s="132"/>
      <c r="DU184" s="132"/>
      <c r="DV184" s="178"/>
      <c r="DW184" s="178"/>
      <c r="DX184" s="132"/>
      <c r="DY184" s="132"/>
      <c r="DZ184" s="175"/>
      <c r="EA184" s="175"/>
      <c r="EB184" s="181"/>
      <c r="EC184" s="181"/>
      <c r="ED184" s="175"/>
      <c r="EE184" s="181"/>
      <c r="EF184" s="80"/>
      <c r="EG184" s="80"/>
      <c r="EI184" s="80"/>
      <c r="EK184" s="80"/>
      <c r="EL184" s="173"/>
      <c r="EM184" s="134"/>
      <c r="EN184" s="79"/>
      <c r="EO184" s="79"/>
      <c r="EP184" s="79"/>
      <c r="EQ184" s="79"/>
      <c r="ES184" s="80"/>
      <c r="ET184" s="80"/>
      <c r="EU184" s="80"/>
      <c r="EW184" s="80"/>
      <c r="EX184" s="80"/>
      <c r="EY184" s="80"/>
      <c r="EZ184" s="80"/>
      <c r="FA184" s="80"/>
      <c r="FB184" s="80"/>
    </row>
    <row r="185" spans="1:158" s="118" customFormat="1" x14ac:dyDescent="0.3">
      <c r="A185" s="52"/>
      <c r="B185" s="52"/>
      <c r="C185" s="69"/>
      <c r="D185" s="69"/>
      <c r="E185" s="69"/>
      <c r="F185" s="69"/>
      <c r="G185" s="69"/>
      <c r="H185" s="69"/>
      <c r="I185" s="69"/>
      <c r="J185" s="69"/>
      <c r="K185" s="70"/>
      <c r="L185" s="70"/>
      <c r="M185" s="70"/>
      <c r="N185" s="70"/>
      <c r="O185" s="70"/>
      <c r="P185" s="70"/>
      <c r="Q185" s="70"/>
      <c r="R185" s="71"/>
      <c r="S185" s="71"/>
      <c r="T185" s="71"/>
      <c r="U185" s="71"/>
      <c r="V185" s="71"/>
      <c r="W185" s="71"/>
      <c r="X185" s="79"/>
      <c r="Y185" s="119"/>
      <c r="Z185" s="119"/>
      <c r="AA185" s="79"/>
      <c r="AB185" s="79"/>
      <c r="AC185" s="79"/>
      <c r="AD185" s="79"/>
      <c r="AE185" s="79"/>
      <c r="AF185" s="79"/>
      <c r="AG185" s="168"/>
      <c r="AH185" s="74"/>
      <c r="AI185" s="69"/>
      <c r="AJ185" s="69"/>
      <c r="AK185" s="69"/>
      <c r="AL185" s="69"/>
      <c r="AM185" s="70"/>
      <c r="AN185" s="70"/>
      <c r="AO185" s="70"/>
      <c r="AP185" s="70"/>
      <c r="AQ185" s="70"/>
      <c r="AR185" s="71"/>
      <c r="AS185" s="71"/>
      <c r="AT185" s="71"/>
      <c r="AU185" s="71"/>
      <c r="AV185" s="71"/>
      <c r="AW185" s="79"/>
      <c r="AX185" s="136"/>
      <c r="AY185" s="136"/>
      <c r="AZ185" s="136"/>
      <c r="BA185" s="136"/>
      <c r="BB185" s="79"/>
      <c r="BC185" s="79"/>
      <c r="BD185" s="79"/>
      <c r="BE185" s="79"/>
      <c r="BF185" s="168"/>
      <c r="BG185" s="74"/>
      <c r="BH185" s="69"/>
      <c r="BI185" s="69"/>
      <c r="BJ185" s="69"/>
      <c r="BK185" s="69"/>
      <c r="BL185" s="69"/>
      <c r="BM185" s="69"/>
      <c r="BN185" s="69"/>
      <c r="BO185" s="69"/>
      <c r="BP185" s="70"/>
      <c r="BQ185" s="70"/>
      <c r="BR185" s="70"/>
      <c r="BS185" s="70"/>
      <c r="BT185" s="70"/>
      <c r="BU185" s="70"/>
      <c r="BV185" s="70"/>
      <c r="BW185" s="71"/>
      <c r="BX185" s="71"/>
      <c r="BY185" s="71"/>
      <c r="BZ185" s="71"/>
      <c r="CA185" s="71"/>
      <c r="CB185" s="71"/>
      <c r="CC185" s="79"/>
      <c r="CD185" s="79"/>
      <c r="CE185" s="79"/>
      <c r="CF185" s="79"/>
      <c r="CG185" s="79"/>
      <c r="CH185" s="79"/>
      <c r="CI185" s="79"/>
      <c r="CJ185" s="79"/>
      <c r="CK185" s="168"/>
      <c r="CL185" s="74"/>
      <c r="CM185" s="130"/>
      <c r="CN185" s="130"/>
      <c r="CO185" s="130"/>
      <c r="CP185" s="130"/>
      <c r="CQ185" s="131"/>
      <c r="CR185" s="131"/>
      <c r="CS185" s="178"/>
      <c r="CT185" s="132"/>
      <c r="CU185" s="131"/>
      <c r="CV185" s="133"/>
      <c r="CW185" s="133"/>
      <c r="CX185" s="133"/>
      <c r="CY185" s="133"/>
      <c r="CZ185" s="133"/>
      <c r="DA185" s="80"/>
      <c r="DB185" s="80"/>
      <c r="DC185" s="80"/>
      <c r="DD185" s="80"/>
      <c r="DE185" s="80"/>
      <c r="DF185" s="80"/>
      <c r="DG185" s="80"/>
      <c r="DH185" s="80"/>
      <c r="DI185" s="173"/>
      <c r="DJ185" s="134"/>
      <c r="DK185" s="130"/>
      <c r="DL185" s="130"/>
      <c r="DM185" s="130"/>
      <c r="DN185" s="130"/>
      <c r="DO185" s="130"/>
      <c r="DP185" s="130"/>
      <c r="DQ185" s="130"/>
      <c r="DR185" s="130"/>
      <c r="DS185" s="132"/>
      <c r="DT185" s="132"/>
      <c r="DU185" s="132"/>
      <c r="DV185" s="178"/>
      <c r="DW185" s="178"/>
      <c r="DX185" s="132"/>
      <c r="DY185" s="132"/>
      <c r="DZ185" s="175"/>
      <c r="EA185" s="175"/>
      <c r="EB185" s="181"/>
      <c r="EC185" s="181"/>
      <c r="ED185" s="175"/>
      <c r="EE185" s="181"/>
      <c r="EF185" s="80"/>
      <c r="EG185" s="80"/>
      <c r="EI185" s="80"/>
      <c r="EK185" s="80"/>
      <c r="EL185" s="173"/>
      <c r="EM185" s="134"/>
      <c r="EN185" s="79"/>
      <c r="EO185" s="79"/>
      <c r="EP185" s="79"/>
      <c r="EQ185" s="79"/>
      <c r="ES185" s="80"/>
      <c r="ET185" s="80"/>
      <c r="EU185" s="80"/>
      <c r="EW185" s="80"/>
      <c r="EX185" s="80"/>
      <c r="EY185" s="80"/>
      <c r="EZ185" s="80"/>
      <c r="FA185" s="80"/>
      <c r="FB185" s="80"/>
    </row>
    <row r="186" spans="1:158" s="118" customFormat="1" x14ac:dyDescent="0.3">
      <c r="A186" s="52"/>
      <c r="B186" s="52"/>
      <c r="C186" s="69"/>
      <c r="D186" s="69"/>
      <c r="E186" s="69"/>
      <c r="F186" s="69"/>
      <c r="G186" s="69"/>
      <c r="H186" s="69"/>
      <c r="I186" s="69"/>
      <c r="J186" s="69"/>
      <c r="K186" s="70"/>
      <c r="L186" s="70"/>
      <c r="M186" s="70"/>
      <c r="N186" s="70"/>
      <c r="O186" s="70"/>
      <c r="P186" s="70"/>
      <c r="Q186" s="70"/>
      <c r="R186" s="71"/>
      <c r="S186" s="71"/>
      <c r="T186" s="71"/>
      <c r="U186" s="71"/>
      <c r="V186" s="71"/>
      <c r="W186" s="71"/>
      <c r="X186" s="79"/>
      <c r="Y186" s="119"/>
      <c r="Z186" s="119"/>
      <c r="AA186" s="79"/>
      <c r="AB186" s="79"/>
      <c r="AC186" s="79"/>
      <c r="AD186" s="79"/>
      <c r="AE186" s="79"/>
      <c r="AF186" s="79"/>
      <c r="AG186" s="168"/>
      <c r="AH186" s="74"/>
      <c r="AI186" s="69"/>
      <c r="AJ186" s="69"/>
      <c r="AK186" s="69"/>
      <c r="AL186" s="69"/>
      <c r="AM186" s="70"/>
      <c r="AN186" s="70"/>
      <c r="AO186" s="70"/>
      <c r="AP186" s="70"/>
      <c r="AQ186" s="70"/>
      <c r="AR186" s="71"/>
      <c r="AS186" s="71"/>
      <c r="AT186" s="71"/>
      <c r="AU186" s="71"/>
      <c r="AV186" s="71"/>
      <c r="AW186" s="79"/>
      <c r="AX186" s="136"/>
      <c r="AY186" s="136"/>
      <c r="AZ186" s="136"/>
      <c r="BA186" s="136"/>
      <c r="BB186" s="79"/>
      <c r="BC186" s="79"/>
      <c r="BD186" s="79"/>
      <c r="BE186" s="79"/>
      <c r="BF186" s="168"/>
      <c r="BG186" s="74"/>
      <c r="BH186" s="69"/>
      <c r="BI186" s="69"/>
      <c r="BJ186" s="69"/>
      <c r="BK186" s="69"/>
      <c r="BL186" s="69"/>
      <c r="BM186" s="69"/>
      <c r="BN186" s="69"/>
      <c r="BO186" s="69"/>
      <c r="BP186" s="70"/>
      <c r="BQ186" s="70"/>
      <c r="BR186" s="70"/>
      <c r="BS186" s="70"/>
      <c r="BT186" s="70"/>
      <c r="BU186" s="70"/>
      <c r="BV186" s="70"/>
      <c r="BW186" s="71"/>
      <c r="BX186" s="71"/>
      <c r="BY186" s="71"/>
      <c r="BZ186" s="71"/>
      <c r="CA186" s="71"/>
      <c r="CB186" s="71"/>
      <c r="CC186" s="79"/>
      <c r="CD186" s="79"/>
      <c r="CE186" s="79"/>
      <c r="CF186" s="79"/>
      <c r="CG186" s="79"/>
      <c r="CH186" s="79"/>
      <c r="CI186" s="79"/>
      <c r="CJ186" s="79"/>
      <c r="CK186" s="168"/>
      <c r="CL186" s="74"/>
      <c r="CM186" s="130"/>
      <c r="CN186" s="130"/>
      <c r="CO186" s="130"/>
      <c r="CP186" s="130"/>
      <c r="CQ186" s="131"/>
      <c r="CR186" s="131"/>
      <c r="CS186" s="178"/>
      <c r="CT186" s="132"/>
      <c r="CU186" s="131"/>
      <c r="CV186" s="133"/>
      <c r="CW186" s="133"/>
      <c r="CX186" s="133"/>
      <c r="CY186" s="133"/>
      <c r="CZ186" s="133"/>
      <c r="DA186" s="80"/>
      <c r="DB186" s="80"/>
      <c r="DC186" s="80"/>
      <c r="DD186" s="80"/>
      <c r="DE186" s="80"/>
      <c r="DF186" s="80"/>
      <c r="DG186" s="80"/>
      <c r="DH186" s="80"/>
      <c r="DI186" s="173"/>
      <c r="DJ186" s="134"/>
      <c r="DK186" s="130"/>
      <c r="DL186" s="130"/>
      <c r="DM186" s="130"/>
      <c r="DN186" s="130"/>
      <c r="DO186" s="130"/>
      <c r="DP186" s="130"/>
      <c r="DQ186" s="130"/>
      <c r="DR186" s="130"/>
      <c r="DS186" s="132"/>
      <c r="DT186" s="132"/>
      <c r="DU186" s="132"/>
      <c r="DV186" s="178"/>
      <c r="DW186" s="178"/>
      <c r="DX186" s="132"/>
      <c r="DY186" s="132"/>
      <c r="DZ186" s="175"/>
      <c r="EA186" s="175"/>
      <c r="EB186" s="181"/>
      <c r="EC186" s="181"/>
      <c r="ED186" s="175"/>
      <c r="EE186" s="181"/>
      <c r="EF186" s="80"/>
      <c r="EG186" s="80"/>
      <c r="EI186" s="80"/>
      <c r="EK186" s="80"/>
      <c r="EL186" s="173"/>
      <c r="EM186" s="134"/>
      <c r="EN186" s="79"/>
      <c r="EO186" s="79"/>
      <c r="EP186" s="79"/>
      <c r="EQ186" s="79"/>
      <c r="ES186" s="80"/>
      <c r="ET186" s="80"/>
      <c r="EU186" s="80"/>
      <c r="EW186" s="80"/>
      <c r="EX186" s="80"/>
      <c r="EY186" s="80"/>
      <c r="EZ186" s="80"/>
      <c r="FA186" s="80"/>
      <c r="FB186" s="80"/>
    </row>
    <row r="187" spans="1:158" s="118" customFormat="1" x14ac:dyDescent="0.3">
      <c r="A187" s="52"/>
      <c r="B187" s="52"/>
      <c r="C187" s="69"/>
      <c r="D187" s="69"/>
      <c r="E187" s="69"/>
      <c r="F187" s="69"/>
      <c r="G187" s="69"/>
      <c r="H187" s="69"/>
      <c r="I187" s="69"/>
      <c r="J187" s="69"/>
      <c r="K187" s="70"/>
      <c r="L187" s="70"/>
      <c r="M187" s="70"/>
      <c r="N187" s="70"/>
      <c r="O187" s="70"/>
      <c r="P187" s="70"/>
      <c r="Q187" s="70"/>
      <c r="R187" s="71"/>
      <c r="S187" s="71"/>
      <c r="T187" s="71"/>
      <c r="U187" s="71"/>
      <c r="V187" s="71"/>
      <c r="W187" s="71"/>
      <c r="X187" s="79"/>
      <c r="Y187" s="119"/>
      <c r="Z187" s="119"/>
      <c r="AA187" s="79"/>
      <c r="AB187" s="79"/>
      <c r="AC187" s="79"/>
      <c r="AD187" s="79"/>
      <c r="AE187" s="79"/>
      <c r="AF187" s="79"/>
      <c r="AG187" s="168"/>
      <c r="AH187" s="74"/>
      <c r="AI187" s="69"/>
      <c r="AJ187" s="69"/>
      <c r="AK187" s="69"/>
      <c r="AL187" s="69"/>
      <c r="AM187" s="70"/>
      <c r="AN187" s="70"/>
      <c r="AO187" s="70"/>
      <c r="AP187" s="70"/>
      <c r="AQ187" s="70"/>
      <c r="AR187" s="71"/>
      <c r="AS187" s="71"/>
      <c r="AT187" s="71"/>
      <c r="AU187" s="71"/>
      <c r="AV187" s="71"/>
      <c r="AW187" s="79"/>
      <c r="AX187" s="136"/>
      <c r="AY187" s="136"/>
      <c r="AZ187" s="136"/>
      <c r="BA187" s="136"/>
      <c r="BB187" s="79"/>
      <c r="BC187" s="79"/>
      <c r="BD187" s="79"/>
      <c r="BE187" s="79"/>
      <c r="BF187" s="168"/>
      <c r="BG187" s="74"/>
      <c r="BH187" s="69"/>
      <c r="BI187" s="69"/>
      <c r="BJ187" s="69"/>
      <c r="BK187" s="69"/>
      <c r="BL187" s="69"/>
      <c r="BM187" s="69"/>
      <c r="BN187" s="69"/>
      <c r="BO187" s="69"/>
      <c r="BP187" s="70"/>
      <c r="BQ187" s="70"/>
      <c r="BR187" s="70"/>
      <c r="BS187" s="70"/>
      <c r="BT187" s="70"/>
      <c r="BU187" s="70"/>
      <c r="BV187" s="70"/>
      <c r="BW187" s="71"/>
      <c r="BX187" s="71"/>
      <c r="BY187" s="71"/>
      <c r="BZ187" s="71"/>
      <c r="CA187" s="71"/>
      <c r="CB187" s="71"/>
      <c r="CC187" s="79"/>
      <c r="CD187" s="79"/>
      <c r="CE187" s="79"/>
      <c r="CF187" s="79"/>
      <c r="CG187" s="79"/>
      <c r="CH187" s="79"/>
      <c r="CI187" s="79"/>
      <c r="CJ187" s="79"/>
      <c r="CK187" s="168"/>
      <c r="CL187" s="74"/>
      <c r="CM187" s="130"/>
      <c r="CN187" s="130"/>
      <c r="CO187" s="130"/>
      <c r="CP187" s="130"/>
      <c r="CQ187" s="131"/>
      <c r="CR187" s="131"/>
      <c r="CS187" s="178"/>
      <c r="CT187" s="132"/>
      <c r="CU187" s="131"/>
      <c r="CV187" s="133"/>
      <c r="CW187" s="133"/>
      <c r="CX187" s="133"/>
      <c r="CY187" s="133"/>
      <c r="CZ187" s="133"/>
      <c r="DA187" s="80"/>
      <c r="DB187" s="80"/>
      <c r="DC187" s="80"/>
      <c r="DD187" s="80"/>
      <c r="DE187" s="80"/>
      <c r="DF187" s="80"/>
      <c r="DG187" s="80"/>
      <c r="DH187" s="80"/>
      <c r="DI187" s="173"/>
      <c r="DJ187" s="134"/>
      <c r="DK187" s="130"/>
      <c r="DL187" s="130"/>
      <c r="DM187" s="130"/>
      <c r="DN187" s="130"/>
      <c r="DO187" s="130"/>
      <c r="DP187" s="130"/>
      <c r="DQ187" s="130"/>
      <c r="DR187" s="130"/>
      <c r="DS187" s="132"/>
      <c r="DT187" s="132"/>
      <c r="DU187" s="132"/>
      <c r="DV187" s="178"/>
      <c r="DW187" s="178"/>
      <c r="DX187" s="132"/>
      <c r="DY187" s="132"/>
      <c r="DZ187" s="175"/>
      <c r="EA187" s="175"/>
      <c r="EB187" s="181"/>
      <c r="EC187" s="181"/>
      <c r="ED187" s="175"/>
      <c r="EE187" s="181"/>
      <c r="EF187" s="80"/>
      <c r="EG187" s="80"/>
      <c r="EI187" s="80"/>
      <c r="EK187" s="80"/>
      <c r="EL187" s="173"/>
      <c r="EM187" s="134"/>
      <c r="EN187" s="79"/>
      <c r="EO187" s="79"/>
      <c r="EP187" s="79"/>
      <c r="EQ187" s="79"/>
      <c r="ES187" s="80"/>
      <c r="ET187" s="80"/>
      <c r="EU187" s="80"/>
      <c r="EW187" s="80"/>
      <c r="EX187" s="80"/>
      <c r="EY187" s="80"/>
      <c r="EZ187" s="80"/>
      <c r="FA187" s="80"/>
      <c r="FB187" s="80"/>
    </row>
    <row r="188" spans="1:158" s="118" customFormat="1" x14ac:dyDescent="0.3">
      <c r="A188" s="52"/>
      <c r="B188" s="52"/>
      <c r="C188" s="69"/>
      <c r="D188" s="69"/>
      <c r="E188" s="69"/>
      <c r="F188" s="69"/>
      <c r="G188" s="69"/>
      <c r="H188" s="69"/>
      <c r="I188" s="69"/>
      <c r="J188" s="69"/>
      <c r="K188" s="70"/>
      <c r="L188" s="70"/>
      <c r="M188" s="70"/>
      <c r="N188" s="70"/>
      <c r="O188" s="70"/>
      <c r="P188" s="70"/>
      <c r="Q188" s="70"/>
      <c r="R188" s="71"/>
      <c r="S188" s="71"/>
      <c r="T188" s="71"/>
      <c r="U188" s="71"/>
      <c r="V188" s="71"/>
      <c r="W188" s="71"/>
      <c r="X188" s="79"/>
      <c r="Y188" s="119"/>
      <c r="Z188" s="119"/>
      <c r="AA188" s="79"/>
      <c r="AB188" s="79"/>
      <c r="AC188" s="79"/>
      <c r="AD188" s="79"/>
      <c r="AE188" s="79"/>
      <c r="AF188" s="79"/>
      <c r="AG188" s="168"/>
      <c r="AH188" s="74"/>
      <c r="AI188" s="69"/>
      <c r="AJ188" s="69"/>
      <c r="AK188" s="69"/>
      <c r="AL188" s="69"/>
      <c r="AM188" s="70"/>
      <c r="AN188" s="70"/>
      <c r="AO188" s="70"/>
      <c r="AP188" s="70"/>
      <c r="AQ188" s="70"/>
      <c r="AR188" s="71"/>
      <c r="AS188" s="71"/>
      <c r="AT188" s="71"/>
      <c r="AU188" s="71"/>
      <c r="AV188" s="71"/>
      <c r="AW188" s="79"/>
      <c r="AX188" s="136"/>
      <c r="AY188" s="136"/>
      <c r="AZ188" s="136"/>
      <c r="BA188" s="136"/>
      <c r="BB188" s="79"/>
      <c r="BC188" s="79"/>
      <c r="BD188" s="79"/>
      <c r="BE188" s="79"/>
      <c r="BF188" s="168"/>
      <c r="BG188" s="74"/>
      <c r="BH188" s="69"/>
      <c r="BI188" s="69"/>
      <c r="BJ188" s="69"/>
      <c r="BK188" s="69"/>
      <c r="BL188" s="69"/>
      <c r="BM188" s="69"/>
      <c r="BN188" s="69"/>
      <c r="BO188" s="69"/>
      <c r="BP188" s="70"/>
      <c r="BQ188" s="70"/>
      <c r="BR188" s="70"/>
      <c r="BS188" s="70"/>
      <c r="BT188" s="70"/>
      <c r="BU188" s="70"/>
      <c r="BV188" s="70"/>
      <c r="BW188" s="71"/>
      <c r="BX188" s="71"/>
      <c r="BY188" s="71"/>
      <c r="BZ188" s="71"/>
      <c r="CA188" s="71"/>
      <c r="CB188" s="71"/>
      <c r="CC188" s="79"/>
      <c r="CD188" s="79"/>
      <c r="CE188" s="79"/>
      <c r="CF188" s="79"/>
      <c r="CG188" s="79"/>
      <c r="CH188" s="79"/>
      <c r="CI188" s="79"/>
      <c r="CJ188" s="79"/>
      <c r="CK188" s="168"/>
      <c r="CL188" s="74"/>
      <c r="CM188" s="130"/>
      <c r="CN188" s="130"/>
      <c r="CO188" s="130"/>
      <c r="CP188" s="130"/>
      <c r="CQ188" s="131"/>
      <c r="CR188" s="131"/>
      <c r="CS188" s="178"/>
      <c r="CT188" s="132"/>
      <c r="CU188" s="131"/>
      <c r="CV188" s="133"/>
      <c r="CW188" s="133"/>
      <c r="CX188" s="133"/>
      <c r="CY188" s="133"/>
      <c r="CZ188" s="133"/>
      <c r="DA188" s="80"/>
      <c r="DB188" s="80"/>
      <c r="DC188" s="80"/>
      <c r="DD188" s="80"/>
      <c r="DE188" s="80"/>
      <c r="DF188" s="80"/>
      <c r="DG188" s="80"/>
      <c r="DH188" s="80"/>
      <c r="DI188" s="173"/>
      <c r="DJ188" s="134"/>
      <c r="DK188" s="130"/>
      <c r="DL188" s="130"/>
      <c r="DM188" s="130"/>
      <c r="DN188" s="130"/>
      <c r="DO188" s="130"/>
      <c r="DP188" s="130"/>
      <c r="DQ188" s="130"/>
      <c r="DR188" s="130"/>
      <c r="DS188" s="132"/>
      <c r="DT188" s="132"/>
      <c r="DU188" s="132"/>
      <c r="DV188" s="178"/>
      <c r="DW188" s="178"/>
      <c r="DX188" s="132"/>
      <c r="DY188" s="132"/>
      <c r="DZ188" s="175"/>
      <c r="EA188" s="175"/>
      <c r="EB188" s="181"/>
      <c r="EC188" s="181"/>
      <c r="ED188" s="175"/>
      <c r="EE188" s="181"/>
      <c r="EF188" s="80"/>
      <c r="EG188" s="80"/>
      <c r="EI188" s="80"/>
      <c r="EK188" s="80"/>
      <c r="EL188" s="173"/>
      <c r="EM188" s="134"/>
      <c r="EN188" s="79"/>
      <c r="EO188" s="79"/>
      <c r="EP188" s="79"/>
      <c r="EQ188" s="79"/>
      <c r="ES188" s="80"/>
      <c r="ET188" s="80"/>
      <c r="EU188" s="80"/>
      <c r="EW188" s="80"/>
      <c r="EX188" s="80"/>
      <c r="EY188" s="80"/>
      <c r="EZ188" s="80"/>
      <c r="FA188" s="80"/>
      <c r="FB188" s="80"/>
    </row>
  </sheetData>
  <mergeCells count="35">
    <mergeCell ref="C1:AH1"/>
    <mergeCell ref="AI1:BG1"/>
    <mergeCell ref="C2:F2"/>
    <mergeCell ref="K2:Q2"/>
    <mergeCell ref="R2:W2"/>
    <mergeCell ref="X2:AF2"/>
    <mergeCell ref="AI2:AL2"/>
    <mergeCell ref="EN2:EQ2"/>
    <mergeCell ref="ES2:EV2"/>
    <mergeCell ref="EX2:FA2"/>
    <mergeCell ref="AM2:AQ2"/>
    <mergeCell ref="AR2:AV2"/>
    <mergeCell ref="AW2:BB2"/>
    <mergeCell ref="ES1:EV1"/>
    <mergeCell ref="EX1:FA1"/>
    <mergeCell ref="BH1:CL1"/>
    <mergeCell ref="CM1:DJ1"/>
    <mergeCell ref="DK1:EM1"/>
    <mergeCell ref="EN1:EQ1"/>
    <mergeCell ref="EU45:EW45"/>
    <mergeCell ref="G2:J2"/>
    <mergeCell ref="BL2:BO2"/>
    <mergeCell ref="DO2:DR2"/>
    <mergeCell ref="CV2:CZ2"/>
    <mergeCell ref="DA2:DH2"/>
    <mergeCell ref="DK2:DN2"/>
    <mergeCell ref="DS2:DY2"/>
    <mergeCell ref="DZ2:EE2"/>
    <mergeCell ref="EF2:EK2"/>
    <mergeCell ref="BH2:BK2"/>
    <mergeCell ref="BP2:BV2"/>
    <mergeCell ref="BW2:CB2"/>
    <mergeCell ref="CC2:CJ2"/>
    <mergeCell ref="CM2:CP2"/>
    <mergeCell ref="CQ2:CU2"/>
  </mergeCells>
  <conditionalFormatting sqref="BK161:BO1048576 AL160:AL1048576 AL1:AL150 BK1:BO1 BK2:BK3 BK4:BO144 ER1:ER1048576 BK145:BN150">
    <cfRule type="cellIs" dxfId="4" priority="5" operator="lessThan">
      <formula>0</formula>
    </cfRule>
  </conditionalFormatting>
  <conditionalFormatting sqref="EW1:EW4">
    <cfRule type="cellIs" dxfId="3" priority="4" operator="lessThan">
      <formula>0</formula>
    </cfRule>
  </conditionalFormatting>
  <conditionalFormatting sqref="EV98">
    <cfRule type="cellIs" dxfId="2" priority="3" operator="lessThan">
      <formula>0</formula>
    </cfRule>
  </conditionalFormatting>
  <conditionalFormatting sqref="FB1:FB4">
    <cfRule type="cellIs" dxfId="1" priority="2" operator="lessThan">
      <formula>0</formula>
    </cfRule>
  </conditionalFormatting>
  <conditionalFormatting sqref="FB9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8F54-3695-495C-9666-5B26F5444AB4}">
  <dimension ref="A1:T11"/>
  <sheetViews>
    <sheetView workbookViewId="0">
      <selection activeCell="I38" sqref="I38"/>
    </sheetView>
  </sheetViews>
  <sheetFormatPr defaultRowHeight="14.4" x14ac:dyDescent="0.3"/>
  <cols>
    <col min="1" max="1" width="10.33203125" bestFit="1" customWidth="1"/>
  </cols>
  <sheetData>
    <row r="1" spans="1:20" x14ac:dyDescent="0.3">
      <c r="B1" s="219" t="s">
        <v>0</v>
      </c>
      <c r="C1" s="219"/>
      <c r="D1" s="219"/>
      <c r="E1" s="219"/>
      <c r="F1" s="219" t="s">
        <v>1</v>
      </c>
      <c r="G1" s="219"/>
      <c r="H1" s="219"/>
      <c r="I1" s="219"/>
      <c r="J1" s="219" t="s">
        <v>2</v>
      </c>
      <c r="K1" s="219"/>
      <c r="L1" s="219"/>
      <c r="M1" s="219"/>
      <c r="N1" s="219" t="s">
        <v>53</v>
      </c>
      <c r="O1" s="219"/>
      <c r="P1" s="219"/>
      <c r="Q1" s="219"/>
      <c r="R1" s="219" t="s">
        <v>54</v>
      </c>
      <c r="S1" s="219"/>
      <c r="T1" s="219"/>
    </row>
    <row r="2" spans="1:20" x14ac:dyDescent="0.3">
      <c r="B2" t="s">
        <v>107</v>
      </c>
      <c r="C2" t="s">
        <v>110</v>
      </c>
      <c r="D2" t="s">
        <v>108</v>
      </c>
      <c r="E2" t="s">
        <v>109</v>
      </c>
      <c r="F2" t="s">
        <v>107</v>
      </c>
      <c r="G2" t="s">
        <v>110</v>
      </c>
      <c r="H2" t="s">
        <v>108</v>
      </c>
      <c r="I2" t="s">
        <v>109</v>
      </c>
      <c r="J2" t="s">
        <v>107</v>
      </c>
      <c r="K2" t="s">
        <v>110</v>
      </c>
      <c r="L2" t="s">
        <v>108</v>
      </c>
      <c r="M2" t="s">
        <v>109</v>
      </c>
      <c r="N2" t="s">
        <v>107</v>
      </c>
      <c r="O2" t="s">
        <v>110</v>
      </c>
      <c r="P2" t="s">
        <v>108</v>
      </c>
      <c r="Q2" t="s">
        <v>109</v>
      </c>
      <c r="R2" t="s">
        <v>107</v>
      </c>
      <c r="S2" t="s">
        <v>110</v>
      </c>
      <c r="T2" t="s">
        <v>108</v>
      </c>
    </row>
    <row r="3" spans="1:20" ht="15.6" x14ac:dyDescent="0.3">
      <c r="A3" s="86">
        <v>44833</v>
      </c>
      <c r="B3" s="1">
        <v>12.217499999999999</v>
      </c>
      <c r="C3" s="1">
        <f>B3*31/95</f>
        <v>3.9867631578947371</v>
      </c>
      <c r="D3" s="1">
        <v>4.1792855959358297</v>
      </c>
      <c r="E3" s="1">
        <v>5.0382449113016401</v>
      </c>
      <c r="F3" s="1">
        <v>25.839099999999998</v>
      </c>
      <c r="G3" s="1">
        <f>F3*31/95</f>
        <v>8.4317063157894729</v>
      </c>
      <c r="H3" s="1">
        <v>6.3911979960194802</v>
      </c>
      <c r="I3" s="1">
        <v>55.786888410554198</v>
      </c>
      <c r="J3" s="1">
        <v>26.006799999999998</v>
      </c>
      <c r="K3" s="1">
        <f>J3*31/95</f>
        <v>8.4864294736842094</v>
      </c>
      <c r="L3" s="1">
        <v>6.7598500627000808</v>
      </c>
      <c r="M3" s="1">
        <v>11.0620196808628</v>
      </c>
      <c r="N3" s="1">
        <v>20.761199999999999</v>
      </c>
      <c r="O3" s="1">
        <f>N3*31/95</f>
        <v>6.7747073684210521</v>
      </c>
      <c r="P3" s="1">
        <v>5.7755490446628599</v>
      </c>
      <c r="Q3" s="1">
        <v>337.69143728054803</v>
      </c>
      <c r="R3" s="1">
        <v>20.0351</v>
      </c>
      <c r="S3" s="1">
        <f>R3*31/95</f>
        <v>6.53776947368421</v>
      </c>
      <c r="T3" s="1">
        <v>6.0225459293388708</v>
      </c>
    </row>
    <row r="7" spans="1:20" x14ac:dyDescent="0.3">
      <c r="A7" t="s">
        <v>0</v>
      </c>
    </row>
    <row r="8" spans="1:20" x14ac:dyDescent="0.3">
      <c r="A8" t="s">
        <v>1</v>
      </c>
    </row>
    <row r="9" spans="1:20" x14ac:dyDescent="0.3">
      <c r="A9" t="s">
        <v>2</v>
      </c>
    </row>
    <row r="10" spans="1:20" x14ac:dyDescent="0.3">
      <c r="A10" t="s">
        <v>53</v>
      </c>
    </row>
    <row r="11" spans="1:20" x14ac:dyDescent="0.3">
      <c r="A11" t="s">
        <v>54</v>
      </c>
    </row>
  </sheetData>
  <mergeCells count="5">
    <mergeCell ref="B1:E1"/>
    <mergeCell ref="F1:I1"/>
    <mergeCell ref="J1:M1"/>
    <mergeCell ref="N1:Q1"/>
    <mergeCell ref="R1:T1"/>
  </mergeCells>
  <phoneticPr fontId="19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5D85509264CF45BCE22B0F3415FC19" ma:contentTypeVersion="4" ma:contentTypeDescription="Create a new document." ma:contentTypeScope="" ma:versionID="81aeb08180d9042f0b3ac3d69f1336bf">
  <xsd:schema xmlns:xsd="http://www.w3.org/2001/XMLSchema" xmlns:xs="http://www.w3.org/2001/XMLSchema" xmlns:p="http://schemas.microsoft.com/office/2006/metadata/properties" xmlns:ns2="d773f631-a458-4a79-baec-ccdd9caffd0c" xmlns:ns3="8779abfd-41fe-4ee9-b92e-dd934386158c" targetNamespace="http://schemas.microsoft.com/office/2006/metadata/properties" ma:root="true" ma:fieldsID="8ac2527c30696d90933fadfded531d81" ns2:_="" ns3:_="">
    <xsd:import namespace="d773f631-a458-4a79-baec-ccdd9caffd0c"/>
    <xsd:import namespace="8779abfd-41fe-4ee9-b92e-dd93438615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3f631-a458-4a79-baec-ccdd9caffd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9abfd-41fe-4ee9-b92e-dd9343861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779abfd-41fe-4ee9-b92e-dd934386158c">
      <UserInfo>
        <DisplayName>Liisa Puro</DisplayName>
        <AccountId>14</AccountId>
        <AccountType/>
      </UserInfo>
      <UserInfo>
        <DisplayName>Jussi Lahti</DisplayName>
        <AccountId>12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AE80B96-B300-4D89-ABC9-080408E2F4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681C72-0354-4114-A278-8E475E1F0E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73f631-a458-4a79-baec-ccdd9caffd0c"/>
    <ds:schemaRef ds:uri="8779abfd-41fe-4ee9-b92e-dd93438615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AF97A9-E7FA-4E75-AB23-34D29614BC2D}">
  <ds:schemaRefs>
    <ds:schemaRef ds:uri="http://schemas.microsoft.com/office/2006/metadata/properties"/>
    <ds:schemaRef ds:uri="http://schemas.microsoft.com/office/infopath/2007/PartnerControls"/>
    <ds:schemaRef ds:uri="8779abfd-41fe-4ee9-b92e-dd93438615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TOC-IC-pH</vt:lpstr>
      <vt:lpstr>MLSS-MLVSS (S1)</vt:lpstr>
      <vt:lpstr>Biogas composition</vt:lpstr>
      <vt:lpstr>Biogas production</vt:lpstr>
      <vt:lpstr>TOC-TN re-measurement </vt:lpstr>
      <vt:lpstr>PO4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 Luong</dc:creator>
  <cp:keywords/>
  <dc:description/>
  <cp:lastModifiedBy>Vu Luong</cp:lastModifiedBy>
  <cp:revision/>
  <dcterms:created xsi:type="dcterms:W3CDTF">2015-06-05T18:17:20Z</dcterms:created>
  <dcterms:modified xsi:type="dcterms:W3CDTF">2022-12-28T12:47:53Z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0x0101000B5D85509264CF45BCE22B0F3415FC19</vt:lpwstr>
  </property>
</Properties>
</file>