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Vinicius  de Camargo\Vinicius  de Camargo\BondsSpreadsPrimaryMkt\"/>
    </mc:Choice>
  </mc:AlternateContent>
  <xr:revisionPtr revIDLastSave="0" documentId="13_ncr:1_{CFAC93EB-708D-4D57-BDE1-BC747B943E55}" xr6:coauthVersionLast="47" xr6:coauthVersionMax="47" xr10:uidLastSave="{00000000-0000-0000-0000-000000000000}"/>
  <bookViews>
    <workbookView xWindow="-110" yWindow="-110" windowWidth="19420" windowHeight="10560" xr2:uid="{45FA5C5D-28B8-4FB1-B01F-7C700EE980DA}"/>
  </bookViews>
  <sheets>
    <sheet name="Base" sheetId="3" r:id="rId1"/>
    <sheet name="Ratings" sheetId="4" r:id="rId2"/>
    <sheet name="Dólar Spot" sheetId="5" r:id="rId3"/>
    <sheet name="Bonds ANBIMA" sheetId="6" r:id="rId4"/>
    <sheet name="Debêntures ANBIMA" sheetId="8" r:id="rId5"/>
    <sheet name="Tabela Resumo" sheetId="9" r:id="rId6"/>
  </sheets>
  <definedNames>
    <definedName name="_xlnm._FilterDatabase" localSheetId="0" hidden="1">Base!$A$2:$T$515</definedName>
    <definedName name="_xlnm._FilterDatabase" localSheetId="2" hidden="1">'Dólar Spot'!$A$1:$C$2758</definedName>
    <definedName name="_xlnm._FilterDatabase" localSheetId="1" hidden="1">Ratings!$A$1:$L$42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9" l="1"/>
  <c r="C7" i="9" s="1"/>
  <c r="C8" i="9" s="1"/>
  <c r="C9" i="9" s="1"/>
  <c r="C10" i="9" s="1"/>
  <c r="C11" i="9" s="1"/>
  <c r="C12" i="9" s="1"/>
  <c r="C13" i="9" s="1"/>
  <c r="C14" i="9" s="1"/>
  <c r="C15" i="9" s="1"/>
  <c r="O4" i="3" a="1"/>
  <c r="O4" i="3" s="1"/>
  <c r="O5" i="3" a="1"/>
  <c r="O5" i="3" s="1"/>
  <c r="O6" i="3" a="1"/>
  <c r="O6" i="3" s="1"/>
  <c r="O7" i="3" a="1"/>
  <c r="O7" i="3" s="1"/>
  <c r="O8" i="3" a="1"/>
  <c r="O8" i="3" s="1"/>
  <c r="O9" i="3" a="1"/>
  <c r="O9" i="3" s="1"/>
  <c r="O10" i="3" a="1"/>
  <c r="O10" i="3" s="1"/>
  <c r="O11" i="3" a="1"/>
  <c r="O11" i="3" s="1"/>
  <c r="O12" i="3" a="1"/>
  <c r="O12" i="3" s="1"/>
  <c r="O13" i="3" a="1"/>
  <c r="O13" i="3" s="1"/>
  <c r="O58" i="3" a="1"/>
  <c r="O58" i="3" s="1"/>
  <c r="O249" i="3" a="1"/>
  <c r="O249" i="3" s="1"/>
  <c r="O14" i="3" a="1"/>
  <c r="O14" i="3" s="1"/>
  <c r="O15" i="3" a="1"/>
  <c r="O15" i="3" s="1"/>
  <c r="O16" i="3" a="1"/>
  <c r="O16" i="3" s="1"/>
  <c r="O17" i="3" a="1"/>
  <c r="O17" i="3" s="1"/>
  <c r="O18" i="3" a="1"/>
  <c r="O18" i="3" s="1"/>
  <c r="O19" i="3" a="1"/>
  <c r="O19" i="3" s="1"/>
  <c r="O20" i="3" a="1"/>
  <c r="O20" i="3" s="1"/>
  <c r="O21" i="3" a="1"/>
  <c r="O21" i="3" s="1"/>
  <c r="O22" i="3" a="1"/>
  <c r="O22" i="3" s="1"/>
  <c r="O23" i="3" a="1"/>
  <c r="O23" i="3" s="1"/>
  <c r="O24" i="3" a="1"/>
  <c r="O24" i="3" s="1"/>
  <c r="O25" i="3" a="1"/>
  <c r="O25" i="3" s="1"/>
  <c r="O26" i="3" a="1"/>
  <c r="O26" i="3" s="1"/>
  <c r="O27" i="3" a="1"/>
  <c r="O27" i="3" s="1"/>
  <c r="O28" i="3" a="1"/>
  <c r="O28" i="3" s="1"/>
  <c r="O29" i="3" a="1"/>
  <c r="O29" i="3" s="1"/>
  <c r="O30" i="3" a="1"/>
  <c r="O30" i="3" s="1"/>
  <c r="O31" i="3" a="1"/>
  <c r="O31" i="3" s="1"/>
  <c r="O32" i="3" a="1"/>
  <c r="O32" i="3" s="1"/>
  <c r="O33" i="3" a="1"/>
  <c r="O33" i="3" s="1"/>
  <c r="O34" i="3" a="1"/>
  <c r="O34" i="3" s="1"/>
  <c r="O35" i="3" a="1"/>
  <c r="O35" i="3" s="1"/>
  <c r="O36" i="3" a="1"/>
  <c r="O36" i="3" s="1"/>
  <c r="O37" i="3" a="1"/>
  <c r="O37" i="3" s="1"/>
  <c r="O38" i="3" a="1"/>
  <c r="O38" i="3" s="1"/>
  <c r="O39" i="3" a="1"/>
  <c r="O39" i="3" s="1"/>
  <c r="O40" i="3" a="1"/>
  <c r="O40" i="3" s="1"/>
  <c r="O41" i="3" a="1"/>
  <c r="O41" i="3" s="1"/>
  <c r="O42" i="3" a="1"/>
  <c r="O42" i="3" s="1"/>
  <c r="O43" i="3" a="1"/>
  <c r="O43" i="3" s="1"/>
  <c r="O44" i="3" a="1"/>
  <c r="O44" i="3" s="1"/>
  <c r="O45" i="3" a="1"/>
  <c r="O45" i="3" s="1"/>
  <c r="O46" i="3" a="1"/>
  <c r="O46" i="3" s="1"/>
  <c r="O47" i="3" a="1"/>
  <c r="O47" i="3" s="1"/>
  <c r="O48" i="3" a="1"/>
  <c r="O48" i="3" s="1"/>
  <c r="O49" i="3" a="1"/>
  <c r="O49" i="3" s="1"/>
  <c r="O50" i="3" a="1"/>
  <c r="O50" i="3" s="1"/>
  <c r="O51" i="3" a="1"/>
  <c r="O51" i="3" s="1"/>
  <c r="O52" i="3" a="1"/>
  <c r="O52" i="3" s="1"/>
  <c r="O53" i="3" a="1"/>
  <c r="O53" i="3" s="1"/>
  <c r="O54" i="3" a="1"/>
  <c r="O54" i="3" s="1"/>
  <c r="O55" i="3" a="1"/>
  <c r="O55" i="3" s="1"/>
  <c r="O56" i="3" a="1"/>
  <c r="O56" i="3" s="1"/>
  <c r="O57" i="3" a="1"/>
  <c r="O57" i="3" s="1"/>
  <c r="O59" i="3" a="1"/>
  <c r="O59" i="3" s="1"/>
  <c r="O60" i="3" a="1"/>
  <c r="O60" i="3" s="1"/>
  <c r="O61" i="3" a="1"/>
  <c r="O61" i="3" s="1"/>
  <c r="O62" i="3" a="1"/>
  <c r="O62" i="3" s="1"/>
  <c r="O63" i="3" a="1"/>
  <c r="O63" i="3" s="1"/>
  <c r="O64" i="3" a="1"/>
  <c r="O64" i="3" s="1"/>
  <c r="O65" i="3" a="1"/>
  <c r="O65" i="3" s="1"/>
  <c r="O66" i="3" a="1"/>
  <c r="O66" i="3" s="1"/>
  <c r="O67" i="3" a="1"/>
  <c r="O67" i="3" s="1"/>
  <c r="O68" i="3" a="1"/>
  <c r="O68" i="3" s="1"/>
  <c r="O69" i="3" a="1"/>
  <c r="O69" i="3" s="1"/>
  <c r="O81" i="3" a="1"/>
  <c r="O81" i="3" s="1"/>
  <c r="O82" i="3" a="1"/>
  <c r="O82" i="3" s="1"/>
  <c r="O83" i="3" a="1"/>
  <c r="O83" i="3" s="1"/>
  <c r="O84" i="3" a="1"/>
  <c r="O84" i="3" s="1"/>
  <c r="O85" i="3" a="1"/>
  <c r="O85" i="3" s="1"/>
  <c r="O86" i="3" a="1"/>
  <c r="O86" i="3" s="1"/>
  <c r="O87" i="3" a="1"/>
  <c r="O87" i="3" s="1"/>
  <c r="O88" i="3" a="1"/>
  <c r="O88" i="3" s="1"/>
  <c r="O89" i="3" a="1"/>
  <c r="O89" i="3" s="1"/>
  <c r="O70" i="3" a="1"/>
  <c r="O70" i="3" s="1"/>
  <c r="O74" i="3" a="1"/>
  <c r="O74" i="3" s="1"/>
  <c r="O75" i="3" a="1"/>
  <c r="O75" i="3" s="1"/>
  <c r="O76" i="3" a="1"/>
  <c r="O76" i="3" s="1"/>
  <c r="O77" i="3" a="1"/>
  <c r="O77" i="3" s="1"/>
  <c r="O78" i="3" a="1"/>
  <c r="O78" i="3" s="1"/>
  <c r="O79" i="3" a="1"/>
  <c r="O79" i="3" s="1"/>
  <c r="O80" i="3" a="1"/>
  <c r="O80" i="3" s="1"/>
  <c r="O71" i="3" a="1"/>
  <c r="O71" i="3" s="1"/>
  <c r="O72" i="3" a="1"/>
  <c r="O72" i="3" s="1"/>
  <c r="O73" i="3" a="1"/>
  <c r="O73" i="3" s="1"/>
  <c r="O107" i="3" a="1"/>
  <c r="O107" i="3" s="1"/>
  <c r="O108" i="3" a="1"/>
  <c r="O108" i="3" s="1"/>
  <c r="O90" i="3" a="1"/>
  <c r="O90" i="3" s="1"/>
  <c r="O91" i="3" a="1"/>
  <c r="O91" i="3" s="1"/>
  <c r="O92" i="3" a="1"/>
  <c r="O92" i="3" s="1"/>
  <c r="O93" i="3" a="1"/>
  <c r="O93" i="3" s="1"/>
  <c r="O94" i="3" a="1"/>
  <c r="O94" i="3" s="1"/>
  <c r="O95" i="3" a="1"/>
  <c r="O95" i="3" s="1"/>
  <c r="O96" i="3" a="1"/>
  <c r="O96" i="3" s="1"/>
  <c r="O97" i="3" a="1"/>
  <c r="O97" i="3" s="1"/>
  <c r="O98" i="3" a="1"/>
  <c r="O98" i="3" s="1"/>
  <c r="O99" i="3" a="1"/>
  <c r="O99" i="3" s="1"/>
  <c r="O100" i="3" a="1"/>
  <c r="O100" i="3" s="1"/>
  <c r="O101" i="3" a="1"/>
  <c r="O101" i="3" s="1"/>
  <c r="O102" i="3" a="1"/>
  <c r="O102" i="3" s="1"/>
  <c r="O103" i="3" a="1"/>
  <c r="O103" i="3" s="1"/>
  <c r="O104" i="3" a="1"/>
  <c r="O104" i="3" s="1"/>
  <c r="O105" i="3" a="1"/>
  <c r="O105" i="3" s="1"/>
  <c r="O106" i="3" a="1"/>
  <c r="O106" i="3" s="1"/>
  <c r="O124" i="3" a="1"/>
  <c r="O124" i="3" s="1"/>
  <c r="O118" i="3" a="1"/>
  <c r="O118" i="3" s="1"/>
  <c r="O123" i="3" a="1"/>
  <c r="O123" i="3" s="1"/>
  <c r="O121" i="3" a="1"/>
  <c r="O121" i="3" s="1"/>
  <c r="O122" i="3" a="1"/>
  <c r="O122" i="3" s="1"/>
  <c r="O119" i="3" a="1"/>
  <c r="O119" i="3" s="1"/>
  <c r="O120" i="3" a="1"/>
  <c r="O120" i="3" s="1"/>
  <c r="O126" i="3" a="1"/>
  <c r="O126" i="3" s="1"/>
  <c r="O127" i="3" a="1"/>
  <c r="O127" i="3" s="1"/>
  <c r="O128" i="3" a="1"/>
  <c r="O128" i="3" s="1"/>
  <c r="O129" i="3" a="1"/>
  <c r="O129" i="3" s="1"/>
  <c r="O137" i="3" a="1"/>
  <c r="O137" i="3" s="1"/>
  <c r="O130" i="3" a="1"/>
  <c r="O130" i="3" s="1"/>
  <c r="O131" i="3" a="1"/>
  <c r="O131" i="3" s="1"/>
  <c r="O132" i="3" a="1"/>
  <c r="O132" i="3" s="1"/>
  <c r="O133" i="3" a="1"/>
  <c r="O133" i="3" s="1"/>
  <c r="O134" i="3" a="1"/>
  <c r="O134" i="3" s="1"/>
  <c r="O135" i="3" a="1"/>
  <c r="O135" i="3" s="1"/>
  <c r="O136" i="3" a="1"/>
  <c r="O136" i="3" s="1"/>
  <c r="O138" i="3" a="1"/>
  <c r="O138" i="3" s="1"/>
  <c r="O139" i="3" a="1"/>
  <c r="O139" i="3" s="1"/>
  <c r="O142" i="3" a="1"/>
  <c r="O142" i="3" s="1"/>
  <c r="O143" i="3" a="1"/>
  <c r="O143" i="3" s="1"/>
  <c r="O144" i="3" a="1"/>
  <c r="O144" i="3" s="1"/>
  <c r="O145" i="3" a="1"/>
  <c r="O145" i="3" s="1"/>
  <c r="O146" i="3" a="1"/>
  <c r="O146" i="3" s="1"/>
  <c r="O147" i="3" a="1"/>
  <c r="O147" i="3" s="1"/>
  <c r="O140" i="3" a="1"/>
  <c r="O140" i="3" s="1"/>
  <c r="O141" i="3" a="1"/>
  <c r="O141" i="3" s="1"/>
  <c r="O150" i="3" a="1"/>
  <c r="O150" i="3" s="1"/>
  <c r="O148" i="3" a="1"/>
  <c r="O148" i="3" s="1"/>
  <c r="O149" i="3" a="1"/>
  <c r="O149" i="3" s="1"/>
  <c r="O115" i="3" a="1"/>
  <c r="O115" i="3" s="1"/>
  <c r="O116" i="3" a="1"/>
  <c r="O116" i="3" s="1"/>
  <c r="O117" i="3" a="1"/>
  <c r="O117" i="3" s="1"/>
  <c r="O109" i="3" a="1"/>
  <c r="O109" i="3" s="1"/>
  <c r="O110" i="3" a="1"/>
  <c r="O110" i="3" s="1"/>
  <c r="O111" i="3" a="1"/>
  <c r="O111" i="3" s="1"/>
  <c r="O112" i="3" a="1"/>
  <c r="O112" i="3" s="1"/>
  <c r="O113" i="3" a="1"/>
  <c r="O113" i="3" s="1"/>
  <c r="O114" i="3" a="1"/>
  <c r="O114" i="3" s="1"/>
  <c r="O151" i="3" a="1"/>
  <c r="O151" i="3" s="1"/>
  <c r="O152" i="3" a="1"/>
  <c r="O152" i="3" s="1"/>
  <c r="O153" i="3" a="1"/>
  <c r="O153" i="3" s="1"/>
  <c r="O154" i="3" a="1"/>
  <c r="O154" i="3" s="1"/>
  <c r="O158" i="3" a="1"/>
  <c r="O158" i="3" s="1"/>
  <c r="O159" i="3" a="1"/>
  <c r="O159" i="3" s="1"/>
  <c r="O172" i="3" a="1"/>
  <c r="O172" i="3" s="1"/>
  <c r="O173" i="3" a="1"/>
  <c r="O173" i="3" s="1"/>
  <c r="O174" i="3" a="1"/>
  <c r="O174" i="3" s="1"/>
  <c r="O175" i="3" a="1"/>
  <c r="O175" i="3" s="1"/>
  <c r="O155" i="3" a="1"/>
  <c r="O155" i="3" s="1"/>
  <c r="O156" i="3" a="1"/>
  <c r="O156" i="3" s="1"/>
  <c r="O157" i="3" a="1"/>
  <c r="O157" i="3" s="1"/>
  <c r="O160" i="3" a="1"/>
  <c r="O160" i="3" s="1"/>
  <c r="O161" i="3" a="1"/>
  <c r="O161" i="3" s="1"/>
  <c r="O162" i="3" a="1"/>
  <c r="O162" i="3" s="1"/>
  <c r="O163" i="3" a="1"/>
  <c r="O163" i="3" s="1"/>
  <c r="O164" i="3" a="1"/>
  <c r="O164" i="3" s="1"/>
  <c r="O165" i="3" a="1"/>
  <c r="O165" i="3" s="1"/>
  <c r="O171" i="3" a="1"/>
  <c r="O171" i="3" s="1"/>
  <c r="O166" i="3" a="1"/>
  <c r="O166" i="3" s="1"/>
  <c r="O167" i="3" a="1"/>
  <c r="O167" i="3" s="1"/>
  <c r="O168" i="3" a="1"/>
  <c r="O168" i="3" s="1"/>
  <c r="O169" i="3" a="1"/>
  <c r="O169" i="3" s="1"/>
  <c r="O170" i="3" a="1"/>
  <c r="O170" i="3" s="1"/>
  <c r="O178" i="3" a="1"/>
  <c r="O178" i="3" s="1"/>
  <c r="O179" i="3" a="1"/>
  <c r="O179" i="3" s="1"/>
  <c r="O176" i="3" a="1"/>
  <c r="O176" i="3" s="1"/>
  <c r="O177" i="3" a="1"/>
  <c r="O177" i="3" s="1"/>
  <c r="O190" i="3" a="1"/>
  <c r="O190" i="3" s="1"/>
  <c r="O180" i="3" a="1"/>
  <c r="O180" i="3" s="1"/>
  <c r="O181" i="3" a="1"/>
  <c r="O181" i="3" s="1"/>
  <c r="O182" i="3" a="1"/>
  <c r="O182" i="3" s="1"/>
  <c r="O183" i="3" a="1"/>
  <c r="O183" i="3" s="1"/>
  <c r="O184" i="3" a="1"/>
  <c r="O184" i="3" s="1"/>
  <c r="O185" i="3" a="1"/>
  <c r="O185" i="3" s="1"/>
  <c r="O186" i="3" a="1"/>
  <c r="O186" i="3" s="1"/>
  <c r="O187" i="3" a="1"/>
  <c r="O187" i="3" s="1"/>
  <c r="O188" i="3" a="1"/>
  <c r="O188" i="3" s="1"/>
  <c r="O189" i="3" a="1"/>
  <c r="O189" i="3" s="1"/>
  <c r="O212" i="3" a="1"/>
  <c r="O212" i="3" s="1"/>
  <c r="O191" i="3" a="1"/>
  <c r="O191" i="3" s="1"/>
  <c r="O192" i="3" a="1"/>
  <c r="O192" i="3" s="1"/>
  <c r="O193" i="3" a="1"/>
  <c r="O193" i="3" s="1"/>
  <c r="O194" i="3" a="1"/>
  <c r="O194" i="3" s="1"/>
  <c r="O195" i="3" a="1"/>
  <c r="O195" i="3" s="1"/>
  <c r="O196" i="3" a="1"/>
  <c r="O196" i="3" s="1"/>
  <c r="O197" i="3" a="1"/>
  <c r="O197" i="3" s="1"/>
  <c r="O198" i="3" a="1"/>
  <c r="O198" i="3" s="1"/>
  <c r="O199" i="3" a="1"/>
  <c r="O199" i="3" s="1"/>
  <c r="O200" i="3" a="1"/>
  <c r="O200" i="3" s="1"/>
  <c r="O201" i="3" a="1"/>
  <c r="O201" i="3" s="1"/>
  <c r="O202" i="3" a="1"/>
  <c r="O202" i="3" s="1"/>
  <c r="O203" i="3" a="1"/>
  <c r="O203" i="3" s="1"/>
  <c r="O204" i="3" a="1"/>
  <c r="O204" i="3" s="1"/>
  <c r="O205" i="3" a="1"/>
  <c r="O205" i="3" s="1"/>
  <c r="O206" i="3" a="1"/>
  <c r="O206" i="3" s="1"/>
  <c r="O207" i="3" a="1"/>
  <c r="O207" i="3" s="1"/>
  <c r="O208" i="3" a="1"/>
  <c r="O208" i="3" s="1"/>
  <c r="O209" i="3" a="1"/>
  <c r="O209" i="3" s="1"/>
  <c r="O210" i="3" a="1"/>
  <c r="O210" i="3" s="1"/>
  <c r="O211" i="3" a="1"/>
  <c r="O211" i="3" s="1"/>
  <c r="O213" i="3" a="1"/>
  <c r="O213" i="3" s="1"/>
  <c r="O214" i="3" a="1"/>
  <c r="O214" i="3" s="1"/>
  <c r="O215" i="3" a="1"/>
  <c r="O215" i="3" s="1"/>
  <c r="O216" i="3" a="1"/>
  <c r="O216" i="3" s="1"/>
  <c r="O217" i="3" a="1"/>
  <c r="O217" i="3" s="1"/>
  <c r="O218" i="3" a="1"/>
  <c r="O218" i="3" s="1"/>
  <c r="O219" i="3" a="1"/>
  <c r="O219" i="3" s="1"/>
  <c r="O220" i="3" a="1"/>
  <c r="O220" i="3" s="1"/>
  <c r="O221" i="3" a="1"/>
  <c r="O221" i="3" s="1"/>
  <c r="O222" i="3" a="1"/>
  <c r="O222" i="3" s="1"/>
  <c r="O223" i="3" a="1"/>
  <c r="O223" i="3" s="1"/>
  <c r="O224" i="3" a="1"/>
  <c r="O224" i="3" s="1"/>
  <c r="O225" i="3" a="1"/>
  <c r="O225" i="3" s="1"/>
  <c r="O226" i="3" a="1"/>
  <c r="O226" i="3" s="1"/>
  <c r="O227" i="3" a="1"/>
  <c r="O227" i="3" s="1"/>
  <c r="O228" i="3" a="1"/>
  <c r="O228" i="3" s="1"/>
  <c r="O229" i="3" a="1"/>
  <c r="O229" i="3" s="1"/>
  <c r="O250" i="3" a="1"/>
  <c r="O250" i="3" s="1"/>
  <c r="O251" i="3" a="1"/>
  <c r="O251" i="3" s="1"/>
  <c r="O252" i="3" a="1"/>
  <c r="O252" i="3" s="1"/>
  <c r="O253" i="3" a="1"/>
  <c r="O253" i="3" s="1"/>
  <c r="O254" i="3" a="1"/>
  <c r="O254" i="3" s="1"/>
  <c r="O255" i="3" a="1"/>
  <c r="O255" i="3" s="1"/>
  <c r="O256" i="3" a="1"/>
  <c r="O256" i="3" s="1"/>
  <c r="O257" i="3" a="1"/>
  <c r="O257" i="3" s="1"/>
  <c r="O290" i="3" a="1"/>
  <c r="O290" i="3" s="1"/>
  <c r="O291" i="3" a="1"/>
  <c r="O291" i="3" s="1"/>
  <c r="O258" i="3" a="1"/>
  <c r="O258" i="3" s="1"/>
  <c r="O259" i="3" a="1"/>
  <c r="O259" i="3" s="1"/>
  <c r="O260" i="3" a="1"/>
  <c r="O260" i="3" s="1"/>
  <c r="O261" i="3" a="1"/>
  <c r="O261" i="3" s="1"/>
  <c r="O262" i="3" a="1"/>
  <c r="O262" i="3" s="1"/>
  <c r="O263" i="3" a="1"/>
  <c r="O263" i="3" s="1"/>
  <c r="O264" i="3" a="1"/>
  <c r="O264" i="3" s="1"/>
  <c r="O265" i="3" a="1"/>
  <c r="O265" i="3" s="1"/>
  <c r="O266" i="3" a="1"/>
  <c r="O266" i="3" s="1"/>
  <c r="O267" i="3" a="1"/>
  <c r="O267" i="3" s="1"/>
  <c r="O268" i="3" a="1"/>
  <c r="O268" i="3" s="1"/>
  <c r="O269" i="3" a="1"/>
  <c r="O269" i="3" s="1"/>
  <c r="O270" i="3" a="1"/>
  <c r="O270" i="3" s="1"/>
  <c r="O271" i="3" a="1"/>
  <c r="O271" i="3" s="1"/>
  <c r="O272" i="3" a="1"/>
  <c r="O272" i="3" s="1"/>
  <c r="O273" i="3" a="1"/>
  <c r="O273" i="3" s="1"/>
  <c r="O274" i="3" a="1"/>
  <c r="O274" i="3" s="1"/>
  <c r="O275" i="3" a="1"/>
  <c r="O275" i="3" s="1"/>
  <c r="O276" i="3" a="1"/>
  <c r="O276" i="3" s="1"/>
  <c r="O277" i="3" a="1"/>
  <c r="O277" i="3" s="1"/>
  <c r="O278" i="3" a="1"/>
  <c r="O278" i="3" s="1"/>
  <c r="O279" i="3" a="1"/>
  <c r="O279" i="3" s="1"/>
  <c r="O280" i="3" a="1"/>
  <c r="O280" i="3" s="1"/>
  <c r="O281" i="3" a="1"/>
  <c r="O281" i="3" s="1"/>
  <c r="O282" i="3" a="1"/>
  <c r="O282" i="3" s="1"/>
  <c r="O283" i="3" a="1"/>
  <c r="O283" i="3" s="1"/>
  <c r="O284" i="3" a="1"/>
  <c r="O284" i="3" s="1"/>
  <c r="O285" i="3" a="1"/>
  <c r="O285" i="3" s="1"/>
  <c r="O286" i="3" a="1"/>
  <c r="O286" i="3" s="1"/>
  <c r="O287" i="3" a="1"/>
  <c r="O287" i="3" s="1"/>
  <c r="O288" i="3" a="1"/>
  <c r="O288" i="3" s="1"/>
  <c r="O289" i="3" a="1"/>
  <c r="O289" i="3"/>
  <c r="O292" i="3" a="1"/>
  <c r="O292" i="3" s="1"/>
  <c r="O293" i="3" a="1"/>
  <c r="O293" i="3" s="1"/>
  <c r="O294" i="3" a="1"/>
  <c r="O294" i="3" s="1"/>
  <c r="O297" i="3" a="1"/>
  <c r="O297" i="3" s="1"/>
  <c r="O298" i="3" a="1"/>
  <c r="O298" i="3" s="1"/>
  <c r="O299" i="3" a="1"/>
  <c r="O299" i="3" s="1"/>
  <c r="O300" i="3" a="1"/>
  <c r="O300" i="3" s="1"/>
  <c r="O301" i="3" a="1"/>
  <c r="O301" i="3" s="1"/>
  <c r="O362" i="3" a="1"/>
  <c r="O362" i="3" s="1"/>
  <c r="O363" i="3" a="1"/>
  <c r="O363" i="3" s="1"/>
  <c r="O295" i="3" a="1"/>
  <c r="O295" i="3" s="1"/>
  <c r="O296" i="3" a="1"/>
  <c r="O296" i="3" s="1"/>
  <c r="O302" i="3" a="1"/>
  <c r="O302" i="3" s="1"/>
  <c r="O303" i="3" a="1"/>
  <c r="O303" i="3" s="1"/>
  <c r="O304" i="3" a="1"/>
  <c r="O304" i="3" s="1"/>
  <c r="O305" i="3" a="1"/>
  <c r="O305" i="3" s="1"/>
  <c r="O306" i="3" a="1"/>
  <c r="O306" i="3" s="1"/>
  <c r="O307" i="3" a="1"/>
  <c r="O307" i="3" s="1"/>
  <c r="O308" i="3" a="1"/>
  <c r="O308" i="3" s="1"/>
  <c r="O309" i="3" a="1"/>
  <c r="O309" i="3" s="1"/>
  <c r="O310" i="3" a="1"/>
  <c r="O310" i="3" s="1"/>
  <c r="O311" i="3" a="1"/>
  <c r="O311" i="3" s="1"/>
  <c r="O312" i="3" a="1"/>
  <c r="O312" i="3" s="1"/>
  <c r="O313" i="3" a="1"/>
  <c r="O313" i="3" s="1"/>
  <c r="O314" i="3" a="1"/>
  <c r="O314" i="3" s="1"/>
  <c r="O315" i="3" a="1"/>
  <c r="O315" i="3" s="1"/>
  <c r="O316" i="3" a="1"/>
  <c r="O316" i="3" s="1"/>
  <c r="O317" i="3" a="1"/>
  <c r="O317" i="3" s="1"/>
  <c r="O318" i="3" a="1"/>
  <c r="O318" i="3" s="1"/>
  <c r="O319" i="3" a="1"/>
  <c r="O319" i="3" s="1"/>
  <c r="O320" i="3" a="1"/>
  <c r="O320" i="3" s="1"/>
  <c r="O321" i="3" a="1"/>
  <c r="O321" i="3" s="1"/>
  <c r="O322" i="3" a="1"/>
  <c r="O322" i="3" s="1"/>
  <c r="O323" i="3" a="1"/>
  <c r="O323" i="3" s="1"/>
  <c r="O324" i="3" a="1"/>
  <c r="O324" i="3" s="1"/>
  <c r="O325" i="3" a="1"/>
  <c r="O325" i="3" s="1"/>
  <c r="O326" i="3" a="1"/>
  <c r="O326" i="3" s="1"/>
  <c r="O327" i="3" a="1"/>
  <c r="O327" i="3" s="1"/>
  <c r="O328" i="3" a="1"/>
  <c r="O328" i="3" s="1"/>
  <c r="O329" i="3" a="1"/>
  <c r="O329" i="3" s="1"/>
  <c r="O330" i="3" a="1"/>
  <c r="O330" i="3" s="1"/>
  <c r="O331" i="3" a="1"/>
  <c r="O331" i="3" s="1"/>
  <c r="O332" i="3" a="1"/>
  <c r="O332" i="3" s="1"/>
  <c r="O333" i="3" a="1"/>
  <c r="O333" i="3" s="1"/>
  <c r="O334" i="3" a="1"/>
  <c r="O334" i="3" s="1"/>
  <c r="O335" i="3" a="1"/>
  <c r="O335" i="3" s="1"/>
  <c r="O336" i="3" a="1"/>
  <c r="O336" i="3" s="1"/>
  <c r="O337" i="3" a="1"/>
  <c r="O337" i="3" s="1"/>
  <c r="O338" i="3" a="1"/>
  <c r="O338" i="3" s="1"/>
  <c r="O339" i="3" a="1"/>
  <c r="O339" i="3" s="1"/>
  <c r="O340" i="3" a="1"/>
  <c r="O340" i="3" s="1"/>
  <c r="O341" i="3" a="1"/>
  <c r="O341" i="3" s="1"/>
  <c r="O342" i="3" a="1"/>
  <c r="O342" i="3" s="1"/>
  <c r="O343" i="3" a="1"/>
  <c r="O343" i="3" s="1"/>
  <c r="O360" i="3" a="1"/>
  <c r="O360" i="3" s="1"/>
  <c r="O361" i="3" a="1"/>
  <c r="O361" i="3" s="1"/>
  <c r="O344" i="3" a="1"/>
  <c r="O344" i="3" s="1"/>
  <c r="O345" i="3" a="1"/>
  <c r="O345" i="3" s="1"/>
  <c r="O346" i="3" a="1"/>
  <c r="O346" i="3" s="1"/>
  <c r="O347" i="3" a="1"/>
  <c r="O347" i="3" s="1"/>
  <c r="O348" i="3" a="1"/>
  <c r="O348" i="3" s="1"/>
  <c r="O349" i="3" a="1"/>
  <c r="O349" i="3" s="1"/>
  <c r="O350" i="3" a="1"/>
  <c r="O350" i="3" s="1"/>
  <c r="O351" i="3" a="1"/>
  <c r="O351" i="3" s="1"/>
  <c r="O352" i="3" a="1"/>
  <c r="O352" i="3" s="1"/>
  <c r="O353" i="3" a="1"/>
  <c r="O353" i="3" s="1"/>
  <c r="O354" i="3" a="1"/>
  <c r="O354" i="3" s="1"/>
  <c r="O355" i="3" a="1"/>
  <c r="O355" i="3" s="1"/>
  <c r="O356" i="3" a="1"/>
  <c r="O356" i="3" s="1"/>
  <c r="O357" i="3" a="1"/>
  <c r="O357" i="3" s="1"/>
  <c r="O358" i="3" a="1"/>
  <c r="O358" i="3" s="1"/>
  <c r="O359" i="3" a="1"/>
  <c r="O359" i="3" s="1"/>
  <c r="O364" i="3" a="1"/>
  <c r="O364" i="3" s="1"/>
  <c r="O371" i="3" a="1"/>
  <c r="O371" i="3" s="1"/>
  <c r="O365" i="3" a="1"/>
  <c r="O365" i="3" s="1"/>
  <c r="O366" i="3" a="1"/>
  <c r="O366" i="3" s="1"/>
  <c r="O367" i="3" a="1"/>
  <c r="O367" i="3" s="1"/>
  <c r="O368" i="3" a="1"/>
  <c r="O368" i="3" s="1"/>
  <c r="O369" i="3" a="1"/>
  <c r="O369" i="3" s="1"/>
  <c r="O370" i="3" a="1"/>
  <c r="O370" i="3" s="1"/>
  <c r="O372" i="3" a="1"/>
  <c r="O372" i="3" s="1"/>
  <c r="O373" i="3" a="1"/>
  <c r="O373" i="3" s="1"/>
  <c r="O374" i="3" a="1"/>
  <c r="O374" i="3" s="1"/>
  <c r="O375" i="3" a="1"/>
  <c r="O375" i="3" s="1"/>
  <c r="O376" i="3" a="1"/>
  <c r="O376" i="3" s="1"/>
  <c r="O377" i="3" a="1"/>
  <c r="O377" i="3" s="1"/>
  <c r="O378" i="3" a="1"/>
  <c r="O378" i="3" s="1"/>
  <c r="O379" i="3" a="1"/>
  <c r="O379" i="3" s="1"/>
  <c r="O380" i="3" a="1"/>
  <c r="O380" i="3" s="1"/>
  <c r="O381" i="3" a="1"/>
  <c r="O381" i="3" s="1"/>
  <c r="O382" i="3" a="1"/>
  <c r="O382" i="3" s="1"/>
  <c r="O383" i="3" a="1"/>
  <c r="O383" i="3" s="1"/>
  <c r="O384" i="3" a="1"/>
  <c r="O384" i="3" s="1"/>
  <c r="O385" i="3" a="1"/>
  <c r="O385" i="3" s="1"/>
  <c r="O386" i="3" a="1"/>
  <c r="O386" i="3" s="1"/>
  <c r="O387" i="3" a="1"/>
  <c r="O387" i="3" s="1"/>
  <c r="O388" i="3" a="1"/>
  <c r="O388" i="3" s="1"/>
  <c r="O389" i="3" a="1"/>
  <c r="O389" i="3" s="1"/>
  <c r="O390" i="3" a="1"/>
  <c r="O390" i="3" s="1"/>
  <c r="O391" i="3" a="1"/>
  <c r="O391" i="3" s="1"/>
  <c r="O392" i="3" a="1"/>
  <c r="O392" i="3" s="1"/>
  <c r="O393" i="3" a="1"/>
  <c r="O393" i="3" s="1"/>
  <c r="O394" i="3" a="1"/>
  <c r="O394" i="3" s="1"/>
  <c r="O395" i="3" a="1"/>
  <c r="O395" i="3" s="1"/>
  <c r="O396" i="3" a="1"/>
  <c r="O396" i="3" s="1"/>
  <c r="O397" i="3" a="1"/>
  <c r="O397" i="3" s="1"/>
  <c r="O398" i="3" a="1"/>
  <c r="O398" i="3" s="1"/>
  <c r="O399" i="3" a="1"/>
  <c r="O399" i="3" s="1"/>
  <c r="O400" i="3" a="1"/>
  <c r="O400" i="3" s="1"/>
  <c r="O401" i="3" a="1"/>
  <c r="O401" i="3" s="1"/>
  <c r="O402" i="3" a="1"/>
  <c r="O402" i="3" s="1"/>
  <c r="O403" i="3" a="1"/>
  <c r="O403" i="3" s="1"/>
  <c r="O404" i="3" a="1"/>
  <c r="O404" i="3" s="1"/>
  <c r="O405" i="3" a="1"/>
  <c r="O405" i="3" s="1"/>
  <c r="O125" i="3" a="1"/>
  <c r="O125" i="3" s="1"/>
  <c r="O406" i="3" a="1"/>
  <c r="O406" i="3" s="1"/>
  <c r="O407" i="3" a="1"/>
  <c r="O407" i="3" s="1"/>
  <c r="O408" i="3" a="1"/>
  <c r="O408" i="3" s="1"/>
  <c r="O409" i="3" a="1"/>
  <c r="O409" i="3" s="1"/>
  <c r="O410" i="3" a="1"/>
  <c r="O410" i="3" s="1"/>
  <c r="O411" i="3" a="1"/>
  <c r="O411" i="3" s="1"/>
  <c r="O412" i="3" a="1"/>
  <c r="O412" i="3" s="1"/>
  <c r="O413" i="3" a="1"/>
  <c r="O413" i="3" s="1"/>
  <c r="O414" i="3" a="1"/>
  <c r="O414" i="3" s="1"/>
  <c r="O420" i="3" a="1"/>
  <c r="O420" i="3" s="1"/>
  <c r="O421" i="3" a="1"/>
  <c r="O421" i="3" s="1"/>
  <c r="O415" i="3" a="1"/>
  <c r="O415" i="3" s="1"/>
  <c r="O416" i="3" a="1"/>
  <c r="O416" i="3" s="1"/>
  <c r="O417" i="3" a="1"/>
  <c r="O417" i="3" s="1"/>
  <c r="O418" i="3" a="1"/>
  <c r="O418" i="3" s="1"/>
  <c r="O419" i="3" a="1"/>
  <c r="O419" i="3" s="1"/>
  <c r="O422" i="3" a="1"/>
  <c r="O422" i="3" s="1"/>
  <c r="O423" i="3" a="1"/>
  <c r="O423" i="3" s="1"/>
  <c r="O424" i="3" a="1"/>
  <c r="O424" i="3" s="1"/>
  <c r="O425" i="3" a="1"/>
  <c r="O425" i="3" s="1"/>
  <c r="O426" i="3" a="1"/>
  <c r="O426" i="3" s="1"/>
  <c r="O427" i="3" a="1"/>
  <c r="O427" i="3" s="1"/>
  <c r="O428" i="3" a="1"/>
  <c r="O428" i="3" s="1"/>
  <c r="O429" i="3" a="1"/>
  <c r="O429" i="3" s="1"/>
  <c r="O430" i="3" a="1"/>
  <c r="O430" i="3" s="1"/>
  <c r="O431" i="3" a="1"/>
  <c r="O431" i="3" s="1"/>
  <c r="O432" i="3" a="1"/>
  <c r="O432" i="3" s="1"/>
  <c r="O433" i="3" a="1"/>
  <c r="O433" i="3" s="1"/>
  <c r="O434" i="3" a="1"/>
  <c r="O434" i="3" s="1"/>
  <c r="O435" i="3" a="1"/>
  <c r="O435" i="3" s="1"/>
  <c r="O436" i="3" a="1"/>
  <c r="O436" i="3" s="1"/>
  <c r="O437" i="3" a="1"/>
  <c r="O437" i="3" s="1"/>
  <c r="O438" i="3" a="1"/>
  <c r="O438" i="3" s="1"/>
  <c r="O439" i="3" a="1"/>
  <c r="O439" i="3" s="1"/>
  <c r="O440" i="3" a="1"/>
  <c r="O440" i="3" s="1"/>
  <c r="O441" i="3" a="1"/>
  <c r="O441" i="3" s="1"/>
  <c r="O442" i="3" a="1"/>
  <c r="O442" i="3" s="1"/>
  <c r="O443" i="3" a="1"/>
  <c r="O443" i="3" s="1"/>
  <c r="O444" i="3" a="1"/>
  <c r="O444" i="3" s="1"/>
  <c r="O445" i="3" a="1"/>
  <c r="O445" i="3" s="1"/>
  <c r="O446" i="3" a="1"/>
  <c r="O446" i="3" s="1"/>
  <c r="O447" i="3" a="1"/>
  <c r="O447" i="3" s="1"/>
  <c r="O448" i="3" a="1"/>
  <c r="O448" i="3" s="1"/>
  <c r="O449" i="3" a="1"/>
  <c r="O449" i="3" s="1"/>
  <c r="O450" i="3" a="1"/>
  <c r="O450" i="3" s="1"/>
  <c r="O451" i="3" a="1"/>
  <c r="O451" i="3" s="1"/>
  <c r="O452" i="3" a="1"/>
  <c r="O452" i="3" s="1"/>
  <c r="O453" i="3" a="1"/>
  <c r="O453" i="3" s="1"/>
  <c r="O454" i="3" a="1"/>
  <c r="O454" i="3" s="1"/>
  <c r="O455" i="3" a="1"/>
  <c r="O455" i="3" s="1"/>
  <c r="O456" i="3" a="1"/>
  <c r="O456" i="3" s="1"/>
  <c r="O457" i="3" a="1"/>
  <c r="O457" i="3" s="1"/>
  <c r="O458" i="3" a="1"/>
  <c r="O458" i="3" s="1"/>
  <c r="O459" i="3" a="1"/>
  <c r="O459" i="3" s="1"/>
  <c r="O460" i="3" a="1"/>
  <c r="O460" i="3" s="1"/>
  <c r="O461" i="3" a="1"/>
  <c r="O461" i="3" s="1"/>
  <c r="O462" i="3" a="1"/>
  <c r="O462" i="3" s="1"/>
  <c r="O230" i="3" a="1"/>
  <c r="O230" i="3" s="1"/>
  <c r="O231" i="3" a="1"/>
  <c r="O231" i="3" s="1"/>
  <c r="O232" i="3" a="1"/>
  <c r="O232" i="3" s="1"/>
  <c r="O233" i="3" a="1"/>
  <c r="O233" i="3" s="1"/>
  <c r="O234" i="3" a="1"/>
  <c r="O234" i="3" s="1"/>
  <c r="O235" i="3" a="1"/>
  <c r="O235" i="3" s="1"/>
  <c r="O236" i="3" a="1"/>
  <c r="O236" i="3" s="1"/>
  <c r="O237" i="3" a="1"/>
  <c r="O237" i="3" s="1"/>
  <c r="O238" i="3" a="1"/>
  <c r="O238" i="3" s="1"/>
  <c r="O239" i="3" a="1"/>
  <c r="O239" i="3" s="1"/>
  <c r="O240" i="3" a="1"/>
  <c r="O240" i="3" s="1"/>
  <c r="O241" i="3" a="1"/>
  <c r="O241" i="3" s="1"/>
  <c r="O242" i="3" a="1"/>
  <c r="O242" i="3" s="1"/>
  <c r="O243" i="3" a="1"/>
  <c r="O243" i="3" s="1"/>
  <c r="O244" i="3" a="1"/>
  <c r="O244" i="3" s="1"/>
  <c r="O245" i="3" a="1"/>
  <c r="O245" i="3" s="1"/>
  <c r="O246" i="3" a="1"/>
  <c r="O246" i="3" s="1"/>
  <c r="O247" i="3" a="1"/>
  <c r="O247" i="3" s="1"/>
  <c r="O248" i="3" a="1"/>
  <c r="O248" i="3" s="1"/>
  <c r="O463" i="3" a="1"/>
  <c r="O463" i="3" s="1"/>
  <c r="O464" i="3" a="1"/>
  <c r="O464" i="3" s="1"/>
  <c r="O465" i="3" a="1"/>
  <c r="O465" i="3" s="1"/>
  <c r="O466" i="3" a="1"/>
  <c r="O466" i="3" s="1"/>
  <c r="O467" i="3" a="1"/>
  <c r="O467" i="3" s="1"/>
  <c r="O468" i="3" a="1"/>
  <c r="O468" i="3" s="1"/>
  <c r="O469" i="3" a="1"/>
  <c r="O469" i="3" s="1"/>
  <c r="O470" i="3" a="1"/>
  <c r="O470" i="3" s="1"/>
  <c r="O471" i="3" a="1"/>
  <c r="O471" i="3" s="1"/>
  <c r="O472" i="3" a="1"/>
  <c r="O472" i="3" s="1"/>
  <c r="O473" i="3" a="1"/>
  <c r="O473" i="3" s="1"/>
  <c r="O474" i="3" a="1"/>
  <c r="O474" i="3" s="1"/>
  <c r="O475" i="3" a="1"/>
  <c r="O475" i="3" s="1"/>
  <c r="O476" i="3" a="1"/>
  <c r="O476" i="3" s="1"/>
  <c r="O477" i="3" a="1"/>
  <c r="O477" i="3" s="1"/>
  <c r="O478" i="3" a="1"/>
  <c r="O478" i="3" s="1"/>
  <c r="O479" i="3" a="1"/>
  <c r="O479" i="3" s="1"/>
  <c r="O480" i="3" a="1"/>
  <c r="O480" i="3" s="1"/>
  <c r="O481" i="3" a="1"/>
  <c r="O481" i="3" s="1"/>
  <c r="O482" i="3" a="1"/>
  <c r="O482" i="3" s="1"/>
  <c r="O483" i="3" a="1"/>
  <c r="O483" i="3" s="1"/>
  <c r="O484" i="3" a="1"/>
  <c r="O484" i="3" s="1"/>
  <c r="O485" i="3" a="1"/>
  <c r="O485" i="3" s="1"/>
  <c r="O486" i="3" a="1"/>
  <c r="O486" i="3" s="1"/>
  <c r="O487" i="3" a="1"/>
  <c r="O487" i="3" s="1"/>
  <c r="O488" i="3" a="1"/>
  <c r="O488" i="3" s="1"/>
  <c r="O489" i="3" a="1"/>
  <c r="O489" i="3" s="1"/>
  <c r="O490" i="3" a="1"/>
  <c r="O490" i="3" s="1"/>
  <c r="O491" i="3" a="1"/>
  <c r="O491" i="3" s="1"/>
  <c r="O492" i="3" a="1"/>
  <c r="O492" i="3" s="1"/>
  <c r="O493" i="3" a="1"/>
  <c r="O493" i="3" s="1"/>
  <c r="O500" i="3" a="1"/>
  <c r="O500" i="3" s="1"/>
  <c r="O494" i="3" a="1"/>
  <c r="O494" i="3" s="1"/>
  <c r="O495" i="3" a="1"/>
  <c r="O495" i="3" s="1"/>
  <c r="O496" i="3" a="1"/>
  <c r="O496" i="3" s="1"/>
  <c r="O497" i="3" a="1"/>
  <c r="O497" i="3" s="1"/>
  <c r="O498" i="3" a="1"/>
  <c r="O498" i="3" s="1"/>
  <c r="O499" i="3" a="1"/>
  <c r="O499" i="3" s="1"/>
  <c r="O501" i="3" a="1"/>
  <c r="O501" i="3" s="1"/>
  <c r="O514" i="3" a="1"/>
  <c r="O514" i="3" s="1"/>
  <c r="O502" i="3" a="1"/>
  <c r="O502" i="3" s="1"/>
  <c r="O503" i="3" a="1"/>
  <c r="O503" i="3" s="1"/>
  <c r="O504" i="3" a="1"/>
  <c r="O504" i="3" s="1"/>
  <c r="O505" i="3" a="1"/>
  <c r="O505" i="3" s="1"/>
  <c r="O506" i="3" a="1"/>
  <c r="O506" i="3" s="1"/>
  <c r="O507" i="3" a="1"/>
  <c r="O507" i="3" s="1"/>
  <c r="O508" i="3" a="1"/>
  <c r="O508" i="3" s="1"/>
  <c r="O509" i="3" a="1"/>
  <c r="O509" i="3" s="1"/>
  <c r="O510" i="3" a="1"/>
  <c r="O510" i="3" s="1"/>
  <c r="O511" i="3" a="1"/>
  <c r="O511" i="3" s="1"/>
  <c r="O512" i="3" a="1"/>
  <c r="O512" i="3" s="1"/>
  <c r="O513" i="3" a="1"/>
  <c r="O513" i="3" s="1"/>
  <c r="O515" i="3" a="1"/>
  <c r="O515" i="3" s="1"/>
  <c r="C3" i="3" l="1"/>
  <c r="C4" i="3" s="1"/>
  <c r="C5" i="3" s="1"/>
  <c r="C6" i="3" s="1"/>
  <c r="C7" i="3" s="1"/>
  <c r="C8" i="3" s="1"/>
  <c r="C9" i="3" s="1"/>
  <c r="C10" i="3" s="1"/>
  <c r="C11" i="3" s="1"/>
  <c r="C12" i="3" s="1"/>
  <c r="C13" i="3" s="1"/>
  <c r="K4" i="3"/>
  <c r="K5" i="3"/>
  <c r="K6" i="3"/>
  <c r="K7" i="3"/>
  <c r="K8" i="3"/>
  <c r="K9" i="3"/>
  <c r="K10" i="3"/>
  <c r="K11" i="3"/>
  <c r="K12" i="3"/>
  <c r="K13" i="3"/>
  <c r="K58" i="3"/>
  <c r="K249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9" i="3"/>
  <c r="K60" i="3"/>
  <c r="K61" i="3"/>
  <c r="K62" i="3"/>
  <c r="K63" i="3"/>
  <c r="K64" i="3"/>
  <c r="K65" i="3"/>
  <c r="K66" i="3"/>
  <c r="K67" i="3"/>
  <c r="K68" i="3"/>
  <c r="K69" i="3"/>
  <c r="K81" i="3"/>
  <c r="K82" i="3"/>
  <c r="K83" i="3"/>
  <c r="K84" i="3"/>
  <c r="K85" i="3"/>
  <c r="K86" i="3"/>
  <c r="K87" i="3"/>
  <c r="K88" i="3"/>
  <c r="K89" i="3"/>
  <c r="K70" i="3"/>
  <c r="K74" i="3"/>
  <c r="K75" i="3"/>
  <c r="K76" i="3"/>
  <c r="K77" i="3"/>
  <c r="K78" i="3"/>
  <c r="K79" i="3"/>
  <c r="K80" i="3"/>
  <c r="K71" i="3"/>
  <c r="K72" i="3"/>
  <c r="K73" i="3"/>
  <c r="K107" i="3"/>
  <c r="K108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24" i="3"/>
  <c r="K118" i="3"/>
  <c r="K123" i="3"/>
  <c r="K121" i="3"/>
  <c r="K122" i="3"/>
  <c r="K119" i="3"/>
  <c r="K120" i="3"/>
  <c r="K126" i="3"/>
  <c r="K127" i="3"/>
  <c r="K128" i="3"/>
  <c r="K129" i="3"/>
  <c r="K137" i="3"/>
  <c r="K130" i="3"/>
  <c r="K131" i="3"/>
  <c r="K132" i="3"/>
  <c r="K133" i="3"/>
  <c r="K134" i="3"/>
  <c r="K135" i="3"/>
  <c r="K136" i="3"/>
  <c r="K138" i="3"/>
  <c r="K139" i="3"/>
  <c r="K142" i="3"/>
  <c r="K143" i="3"/>
  <c r="K144" i="3"/>
  <c r="K145" i="3"/>
  <c r="K146" i="3"/>
  <c r="K147" i="3"/>
  <c r="K140" i="3"/>
  <c r="K141" i="3"/>
  <c r="K150" i="3"/>
  <c r="K148" i="3"/>
  <c r="K149" i="3"/>
  <c r="K115" i="3"/>
  <c r="K116" i="3"/>
  <c r="K117" i="3"/>
  <c r="K109" i="3"/>
  <c r="K110" i="3"/>
  <c r="K111" i="3"/>
  <c r="K112" i="3"/>
  <c r="K113" i="3"/>
  <c r="K114" i="3"/>
  <c r="K151" i="3"/>
  <c r="K152" i="3"/>
  <c r="K153" i="3"/>
  <c r="K154" i="3"/>
  <c r="K158" i="3"/>
  <c r="K159" i="3"/>
  <c r="K172" i="3"/>
  <c r="K173" i="3"/>
  <c r="K174" i="3"/>
  <c r="K175" i="3"/>
  <c r="K155" i="3"/>
  <c r="K156" i="3"/>
  <c r="K157" i="3"/>
  <c r="K160" i="3"/>
  <c r="K161" i="3"/>
  <c r="K162" i="3"/>
  <c r="K163" i="3"/>
  <c r="K164" i="3"/>
  <c r="K165" i="3"/>
  <c r="K171" i="3"/>
  <c r="K166" i="3"/>
  <c r="K167" i="3"/>
  <c r="K168" i="3"/>
  <c r="K169" i="3"/>
  <c r="K170" i="3"/>
  <c r="K178" i="3"/>
  <c r="K179" i="3"/>
  <c r="K176" i="3"/>
  <c r="K177" i="3"/>
  <c r="K190" i="3"/>
  <c r="K180" i="3"/>
  <c r="K181" i="3"/>
  <c r="K182" i="3"/>
  <c r="K183" i="3"/>
  <c r="K184" i="3"/>
  <c r="K185" i="3"/>
  <c r="K186" i="3"/>
  <c r="K187" i="3"/>
  <c r="K188" i="3"/>
  <c r="K189" i="3"/>
  <c r="K212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50" i="3"/>
  <c r="K251" i="3"/>
  <c r="K252" i="3"/>
  <c r="K253" i="3"/>
  <c r="K254" i="3"/>
  <c r="K255" i="3"/>
  <c r="K256" i="3"/>
  <c r="K257" i="3"/>
  <c r="K290" i="3"/>
  <c r="K291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2" i="3"/>
  <c r="K293" i="3"/>
  <c r="K294" i="3"/>
  <c r="K297" i="3"/>
  <c r="K298" i="3"/>
  <c r="K299" i="3"/>
  <c r="K300" i="3"/>
  <c r="K301" i="3"/>
  <c r="K362" i="3"/>
  <c r="K363" i="3"/>
  <c r="K295" i="3"/>
  <c r="K296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60" i="3"/>
  <c r="K361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4" i="3"/>
  <c r="K371" i="3"/>
  <c r="K365" i="3"/>
  <c r="K366" i="3"/>
  <c r="K367" i="3"/>
  <c r="K368" i="3"/>
  <c r="K369" i="3"/>
  <c r="K370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125" i="3"/>
  <c r="K406" i="3"/>
  <c r="K407" i="3"/>
  <c r="K408" i="3"/>
  <c r="K409" i="3"/>
  <c r="K410" i="3"/>
  <c r="K411" i="3"/>
  <c r="K412" i="3"/>
  <c r="K413" i="3"/>
  <c r="K414" i="3"/>
  <c r="K420" i="3"/>
  <c r="K421" i="3"/>
  <c r="K415" i="3"/>
  <c r="K416" i="3"/>
  <c r="K417" i="3"/>
  <c r="K418" i="3"/>
  <c r="K419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500" i="3"/>
  <c r="K494" i="3"/>
  <c r="K495" i="3"/>
  <c r="K496" i="3"/>
  <c r="K497" i="3"/>
  <c r="K498" i="3"/>
  <c r="K499" i="3"/>
  <c r="K501" i="3"/>
  <c r="K514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5" i="3"/>
  <c r="B4" i="3"/>
  <c r="A4" i="3" s="1"/>
  <c r="B6" i="3"/>
  <c r="A6" i="3" s="1"/>
  <c r="B7" i="3"/>
  <c r="A7" i="3" s="1"/>
  <c r="B8" i="3"/>
  <c r="A8" i="3" s="1"/>
  <c r="B9" i="3"/>
  <c r="A9" i="3" s="1"/>
  <c r="B10" i="3"/>
  <c r="A10" i="3" s="1"/>
  <c r="B11" i="3"/>
  <c r="A11" i="3" s="1"/>
  <c r="B12" i="3"/>
  <c r="A12" i="3" s="1"/>
  <c r="B13" i="3"/>
  <c r="A13" i="3" s="1"/>
  <c r="B14" i="3"/>
  <c r="A14" i="3" s="1"/>
  <c r="B15" i="3"/>
  <c r="A15" i="3" s="1"/>
  <c r="B16" i="3"/>
  <c r="A16" i="3" s="1"/>
  <c r="B17" i="3"/>
  <c r="A17" i="3" s="1"/>
  <c r="B18" i="3"/>
  <c r="A18" i="3" s="1"/>
  <c r="B19" i="3"/>
  <c r="A19" i="3" s="1"/>
  <c r="B20" i="3"/>
  <c r="A20" i="3" s="1"/>
  <c r="B21" i="3"/>
  <c r="A21" i="3" s="1"/>
  <c r="B22" i="3"/>
  <c r="A22" i="3" s="1"/>
  <c r="B23" i="3"/>
  <c r="A23" i="3" s="1"/>
  <c r="B24" i="3"/>
  <c r="A24" i="3" s="1"/>
  <c r="B25" i="3"/>
  <c r="A25" i="3" s="1"/>
  <c r="B26" i="3"/>
  <c r="A26" i="3" s="1"/>
  <c r="B27" i="3"/>
  <c r="A27" i="3" s="1"/>
  <c r="B28" i="3"/>
  <c r="A28" i="3" s="1"/>
  <c r="B29" i="3"/>
  <c r="A29" i="3" s="1"/>
  <c r="B30" i="3"/>
  <c r="A30" i="3" s="1"/>
  <c r="B31" i="3"/>
  <c r="A31" i="3" s="1"/>
  <c r="B32" i="3"/>
  <c r="A32" i="3" s="1"/>
  <c r="B33" i="3"/>
  <c r="A33" i="3" s="1"/>
  <c r="B35" i="3"/>
  <c r="A35" i="3" s="1"/>
  <c r="B36" i="3"/>
  <c r="A36" i="3" s="1"/>
  <c r="B37" i="3"/>
  <c r="A37" i="3" s="1"/>
  <c r="B38" i="3"/>
  <c r="A38" i="3" s="1"/>
  <c r="B39" i="3"/>
  <c r="A39" i="3" s="1"/>
  <c r="B40" i="3"/>
  <c r="A40" i="3" s="1"/>
  <c r="B41" i="3"/>
  <c r="A41" i="3" s="1"/>
  <c r="B42" i="3"/>
  <c r="A42" i="3" s="1"/>
  <c r="B43" i="3"/>
  <c r="A43" i="3" s="1"/>
  <c r="B44" i="3"/>
  <c r="A44" i="3" s="1"/>
  <c r="B45" i="3"/>
  <c r="A45" i="3" s="1"/>
  <c r="B48" i="3"/>
  <c r="A48" i="3" s="1"/>
  <c r="B49" i="3"/>
  <c r="A49" i="3" s="1"/>
  <c r="B50" i="3"/>
  <c r="A50" i="3" s="1"/>
  <c r="B51" i="3"/>
  <c r="A51" i="3" s="1"/>
  <c r="B52" i="3"/>
  <c r="A52" i="3" s="1"/>
  <c r="B53" i="3"/>
  <c r="A53" i="3" s="1"/>
  <c r="B54" i="3"/>
  <c r="A54" i="3" s="1"/>
  <c r="B55" i="3"/>
  <c r="A55" i="3" s="1"/>
  <c r="B56" i="3"/>
  <c r="A56" i="3" s="1"/>
  <c r="B57" i="3"/>
  <c r="A57" i="3" s="1"/>
  <c r="B81" i="3"/>
  <c r="A81" i="3" s="1"/>
  <c r="B82" i="3"/>
  <c r="A82" i="3" s="1"/>
  <c r="B83" i="3"/>
  <c r="A83" i="3" s="1"/>
  <c r="B84" i="3"/>
  <c r="A84" i="3" s="1"/>
  <c r="B85" i="3"/>
  <c r="A85" i="3" s="1"/>
  <c r="B86" i="3"/>
  <c r="A86" i="3" s="1"/>
  <c r="B87" i="3"/>
  <c r="A87" i="3" s="1"/>
  <c r="B88" i="3"/>
  <c r="A88" i="3" s="1"/>
  <c r="B89" i="3"/>
  <c r="A89" i="3" s="1"/>
  <c r="B71" i="3"/>
  <c r="A71" i="3" s="1"/>
  <c r="B72" i="3"/>
  <c r="A72" i="3" s="1"/>
  <c r="B73" i="3"/>
  <c r="A73" i="3" s="1"/>
  <c r="B90" i="3"/>
  <c r="A90" i="3" s="1"/>
  <c r="B91" i="3"/>
  <c r="A91" i="3" s="1"/>
  <c r="B92" i="3"/>
  <c r="A92" i="3" s="1"/>
  <c r="B93" i="3"/>
  <c r="A93" i="3" s="1"/>
  <c r="B94" i="3"/>
  <c r="A94" i="3" s="1"/>
  <c r="B95" i="3"/>
  <c r="A95" i="3" s="1"/>
  <c r="B96" i="3"/>
  <c r="A96" i="3" s="1"/>
  <c r="B97" i="3"/>
  <c r="A97" i="3" s="1"/>
  <c r="B98" i="3"/>
  <c r="A98" i="3" s="1"/>
  <c r="B99" i="3"/>
  <c r="A99" i="3" s="1"/>
  <c r="B100" i="3"/>
  <c r="A100" i="3" s="1"/>
  <c r="B101" i="3"/>
  <c r="A101" i="3" s="1"/>
  <c r="B102" i="3"/>
  <c r="A102" i="3" s="1"/>
  <c r="B103" i="3"/>
  <c r="A103" i="3" s="1"/>
  <c r="B104" i="3"/>
  <c r="A104" i="3" s="1"/>
  <c r="B105" i="3"/>
  <c r="A105" i="3" s="1"/>
  <c r="B106" i="3"/>
  <c r="A106" i="3" s="1"/>
  <c r="B124" i="3"/>
  <c r="A124" i="3" s="1"/>
  <c r="B123" i="3"/>
  <c r="A123" i="3" s="1"/>
  <c r="B119" i="3"/>
  <c r="A119" i="3" s="1"/>
  <c r="B120" i="3"/>
  <c r="A120" i="3" s="1"/>
  <c r="B130" i="3"/>
  <c r="A130" i="3" s="1"/>
  <c r="B131" i="3"/>
  <c r="A131" i="3" s="1"/>
  <c r="B132" i="3"/>
  <c r="A132" i="3" s="1"/>
  <c r="B133" i="3"/>
  <c r="A133" i="3" s="1"/>
  <c r="B134" i="3"/>
  <c r="A134" i="3" s="1"/>
  <c r="B135" i="3"/>
  <c r="A135" i="3" s="1"/>
  <c r="B136" i="3"/>
  <c r="A136" i="3" s="1"/>
  <c r="B140" i="3"/>
  <c r="A140" i="3" s="1"/>
  <c r="B141" i="3"/>
  <c r="A141" i="3" s="1"/>
  <c r="B148" i="3"/>
  <c r="A148" i="3" s="1"/>
  <c r="B149" i="3"/>
  <c r="A149" i="3" s="1"/>
  <c r="B109" i="3"/>
  <c r="A109" i="3" s="1"/>
  <c r="B110" i="3"/>
  <c r="A110" i="3" s="1"/>
  <c r="B111" i="3"/>
  <c r="A111" i="3" s="1"/>
  <c r="B112" i="3"/>
  <c r="A112" i="3" s="1"/>
  <c r="B113" i="3"/>
  <c r="A113" i="3" s="1"/>
  <c r="B114" i="3"/>
  <c r="A114" i="3" s="1"/>
  <c r="B152" i="3"/>
  <c r="A152" i="3" s="1"/>
  <c r="B153" i="3"/>
  <c r="A153" i="3" s="1"/>
  <c r="B154" i="3"/>
  <c r="A154" i="3" s="1"/>
  <c r="B155" i="3"/>
  <c r="A155" i="3" s="1"/>
  <c r="B156" i="3"/>
  <c r="A156" i="3" s="1"/>
  <c r="B157" i="3"/>
  <c r="A157" i="3" s="1"/>
  <c r="B166" i="3"/>
  <c r="A166" i="3" s="1"/>
  <c r="B167" i="3"/>
  <c r="A167" i="3" s="1"/>
  <c r="B168" i="3"/>
  <c r="A168" i="3" s="1"/>
  <c r="B169" i="3"/>
  <c r="A169" i="3" s="1"/>
  <c r="B170" i="3"/>
  <c r="A170" i="3" s="1"/>
  <c r="B176" i="3"/>
  <c r="A176" i="3" s="1"/>
  <c r="B177" i="3"/>
  <c r="A177" i="3" s="1"/>
  <c r="B180" i="3"/>
  <c r="A180" i="3" s="1"/>
  <c r="B181" i="3"/>
  <c r="A181" i="3" s="1"/>
  <c r="B182" i="3"/>
  <c r="A182" i="3" s="1"/>
  <c r="B183" i="3"/>
  <c r="A183" i="3" s="1"/>
  <c r="B184" i="3"/>
  <c r="A184" i="3" s="1"/>
  <c r="B185" i="3"/>
  <c r="A185" i="3" s="1"/>
  <c r="B186" i="3"/>
  <c r="A186" i="3" s="1"/>
  <c r="B187" i="3"/>
  <c r="A187" i="3" s="1"/>
  <c r="B188" i="3"/>
  <c r="A188" i="3" s="1"/>
  <c r="B189" i="3"/>
  <c r="A189" i="3" s="1"/>
  <c r="B191" i="3"/>
  <c r="A191" i="3" s="1"/>
  <c r="B192" i="3"/>
  <c r="A192" i="3" s="1"/>
  <c r="B193" i="3"/>
  <c r="A193" i="3" s="1"/>
  <c r="B194" i="3"/>
  <c r="A194" i="3" s="1"/>
  <c r="B195" i="3"/>
  <c r="A195" i="3" s="1"/>
  <c r="B196" i="3"/>
  <c r="A196" i="3" s="1"/>
  <c r="B197" i="3"/>
  <c r="A197" i="3" s="1"/>
  <c r="B198" i="3"/>
  <c r="A198" i="3" s="1"/>
  <c r="B199" i="3"/>
  <c r="A199" i="3" s="1"/>
  <c r="B200" i="3"/>
  <c r="A200" i="3" s="1"/>
  <c r="B201" i="3"/>
  <c r="A201" i="3" s="1"/>
  <c r="B202" i="3"/>
  <c r="A202" i="3" s="1"/>
  <c r="B203" i="3"/>
  <c r="A203" i="3" s="1"/>
  <c r="B204" i="3"/>
  <c r="A204" i="3" s="1"/>
  <c r="B205" i="3"/>
  <c r="A205" i="3" s="1"/>
  <c r="B206" i="3"/>
  <c r="A206" i="3" s="1"/>
  <c r="B207" i="3"/>
  <c r="A207" i="3" s="1"/>
  <c r="B208" i="3"/>
  <c r="A208" i="3" s="1"/>
  <c r="B209" i="3"/>
  <c r="A209" i="3" s="1"/>
  <c r="B210" i="3"/>
  <c r="A210" i="3" s="1"/>
  <c r="B211" i="3"/>
  <c r="A211" i="3" s="1"/>
  <c r="B213" i="3"/>
  <c r="A213" i="3" s="1"/>
  <c r="B214" i="3"/>
  <c r="A214" i="3" s="1"/>
  <c r="B215" i="3"/>
  <c r="A215" i="3" s="1"/>
  <c r="B216" i="3"/>
  <c r="A216" i="3" s="1"/>
  <c r="B217" i="3"/>
  <c r="A217" i="3" s="1"/>
  <c r="B218" i="3"/>
  <c r="A218" i="3" s="1"/>
  <c r="B219" i="3"/>
  <c r="A219" i="3" s="1"/>
  <c r="B220" i="3"/>
  <c r="A220" i="3" s="1"/>
  <c r="B221" i="3"/>
  <c r="A221" i="3" s="1"/>
  <c r="B223" i="3"/>
  <c r="A223" i="3" s="1"/>
  <c r="B224" i="3"/>
  <c r="A224" i="3" s="1"/>
  <c r="B225" i="3"/>
  <c r="A225" i="3" s="1"/>
  <c r="B226" i="3"/>
  <c r="A226" i="3" s="1"/>
  <c r="B227" i="3"/>
  <c r="A227" i="3" s="1"/>
  <c r="B228" i="3"/>
  <c r="A228" i="3" s="1"/>
  <c r="B229" i="3"/>
  <c r="A229" i="3" s="1"/>
  <c r="B257" i="3"/>
  <c r="A257" i="3" s="1"/>
  <c r="B258" i="3"/>
  <c r="A258" i="3" s="1"/>
  <c r="B259" i="3"/>
  <c r="A259" i="3" s="1"/>
  <c r="B260" i="3"/>
  <c r="A260" i="3" s="1"/>
  <c r="B261" i="3"/>
  <c r="A261" i="3" s="1"/>
  <c r="B262" i="3"/>
  <c r="A262" i="3" s="1"/>
  <c r="B263" i="3"/>
  <c r="A263" i="3" s="1"/>
  <c r="B264" i="3"/>
  <c r="A264" i="3" s="1"/>
  <c r="B265" i="3"/>
  <c r="A265" i="3" s="1"/>
  <c r="B266" i="3"/>
  <c r="A266" i="3" s="1"/>
  <c r="B267" i="3"/>
  <c r="A267" i="3" s="1"/>
  <c r="B268" i="3"/>
  <c r="A268" i="3" s="1"/>
  <c r="B269" i="3"/>
  <c r="A269" i="3" s="1"/>
  <c r="B270" i="3"/>
  <c r="A270" i="3" s="1"/>
  <c r="B271" i="3"/>
  <c r="A271" i="3" s="1"/>
  <c r="B272" i="3"/>
  <c r="A272" i="3" s="1"/>
  <c r="B273" i="3"/>
  <c r="A273" i="3" s="1"/>
  <c r="B274" i="3"/>
  <c r="A274" i="3" s="1"/>
  <c r="B275" i="3"/>
  <c r="A275" i="3" s="1"/>
  <c r="B276" i="3"/>
  <c r="A276" i="3" s="1"/>
  <c r="B277" i="3"/>
  <c r="A277" i="3" s="1"/>
  <c r="B278" i="3"/>
  <c r="A278" i="3" s="1"/>
  <c r="B279" i="3"/>
  <c r="A279" i="3" s="1"/>
  <c r="B280" i="3"/>
  <c r="A280" i="3" s="1"/>
  <c r="B281" i="3"/>
  <c r="A281" i="3" s="1"/>
  <c r="B282" i="3"/>
  <c r="A282" i="3" s="1"/>
  <c r="B283" i="3"/>
  <c r="A283" i="3" s="1"/>
  <c r="B284" i="3"/>
  <c r="A284" i="3" s="1"/>
  <c r="B285" i="3"/>
  <c r="A285" i="3" s="1"/>
  <c r="B286" i="3"/>
  <c r="A286" i="3" s="1"/>
  <c r="B287" i="3"/>
  <c r="A287" i="3" s="1"/>
  <c r="B288" i="3"/>
  <c r="A288" i="3" s="1"/>
  <c r="B289" i="3"/>
  <c r="A289" i="3" s="1"/>
  <c r="B295" i="3"/>
  <c r="A295" i="3" s="1"/>
  <c r="B296" i="3"/>
  <c r="A296" i="3" s="1"/>
  <c r="B311" i="3"/>
  <c r="A311" i="3" s="1"/>
  <c r="B312" i="3"/>
  <c r="A312" i="3" s="1"/>
  <c r="B313" i="3"/>
  <c r="A313" i="3" s="1"/>
  <c r="B316" i="3"/>
  <c r="A316" i="3" s="1"/>
  <c r="B317" i="3"/>
  <c r="A317" i="3" s="1"/>
  <c r="B318" i="3"/>
  <c r="A318" i="3" s="1"/>
  <c r="B319" i="3"/>
  <c r="A319" i="3" s="1"/>
  <c r="B320" i="3"/>
  <c r="A320" i="3" s="1"/>
  <c r="B321" i="3"/>
  <c r="A321" i="3" s="1"/>
  <c r="B322" i="3"/>
  <c r="A322" i="3" s="1"/>
  <c r="B323" i="3"/>
  <c r="A323" i="3" s="1"/>
  <c r="B324" i="3"/>
  <c r="A324" i="3" s="1"/>
  <c r="B325" i="3"/>
  <c r="A325" i="3" s="1"/>
  <c r="B326" i="3"/>
  <c r="A326" i="3" s="1"/>
  <c r="B327" i="3"/>
  <c r="A327" i="3" s="1"/>
  <c r="B328" i="3"/>
  <c r="A328" i="3" s="1"/>
  <c r="B329" i="3"/>
  <c r="A329" i="3" s="1"/>
  <c r="B330" i="3"/>
  <c r="A330" i="3" s="1"/>
  <c r="B331" i="3"/>
  <c r="A331" i="3" s="1"/>
  <c r="B332" i="3"/>
  <c r="A332" i="3" s="1"/>
  <c r="B333" i="3"/>
  <c r="A333" i="3" s="1"/>
  <c r="B334" i="3"/>
  <c r="A334" i="3" s="1"/>
  <c r="B335" i="3"/>
  <c r="A335" i="3" s="1"/>
  <c r="B336" i="3"/>
  <c r="A336" i="3" s="1"/>
  <c r="B337" i="3"/>
  <c r="A337" i="3" s="1"/>
  <c r="B338" i="3"/>
  <c r="A338" i="3" s="1"/>
  <c r="B339" i="3"/>
  <c r="A339" i="3" s="1"/>
  <c r="B340" i="3"/>
  <c r="A340" i="3" s="1"/>
  <c r="B341" i="3"/>
  <c r="A341" i="3" s="1"/>
  <c r="B342" i="3"/>
  <c r="A342" i="3" s="1"/>
  <c r="B343" i="3"/>
  <c r="A343" i="3" s="1"/>
  <c r="B344" i="3"/>
  <c r="A344" i="3" s="1"/>
  <c r="B345" i="3"/>
  <c r="A345" i="3" s="1"/>
  <c r="B346" i="3"/>
  <c r="A346" i="3" s="1"/>
  <c r="B347" i="3"/>
  <c r="A347" i="3" s="1"/>
  <c r="B348" i="3"/>
  <c r="A348" i="3" s="1"/>
  <c r="B349" i="3"/>
  <c r="A349" i="3" s="1"/>
  <c r="B350" i="3"/>
  <c r="A350" i="3" s="1"/>
  <c r="B351" i="3"/>
  <c r="A351" i="3" s="1"/>
  <c r="B352" i="3"/>
  <c r="A352" i="3" s="1"/>
  <c r="B353" i="3"/>
  <c r="A353" i="3" s="1"/>
  <c r="B354" i="3"/>
  <c r="A354" i="3" s="1"/>
  <c r="B355" i="3"/>
  <c r="A355" i="3" s="1"/>
  <c r="B356" i="3"/>
  <c r="A356" i="3" s="1"/>
  <c r="B357" i="3"/>
  <c r="A357" i="3" s="1"/>
  <c r="B358" i="3"/>
  <c r="A358" i="3" s="1"/>
  <c r="B359" i="3"/>
  <c r="A359" i="3" s="1"/>
  <c r="B365" i="3"/>
  <c r="A365" i="3" s="1"/>
  <c r="B366" i="3"/>
  <c r="A366" i="3" s="1"/>
  <c r="B367" i="3"/>
  <c r="A367" i="3" s="1"/>
  <c r="B368" i="3"/>
  <c r="A368" i="3" s="1"/>
  <c r="B369" i="3"/>
  <c r="A369" i="3" s="1"/>
  <c r="B370" i="3"/>
  <c r="A370" i="3" s="1"/>
  <c r="B395" i="3"/>
  <c r="A395" i="3" s="1"/>
  <c r="B396" i="3"/>
  <c r="A396" i="3" s="1"/>
  <c r="B397" i="3"/>
  <c r="A397" i="3" s="1"/>
  <c r="B398" i="3"/>
  <c r="A398" i="3" s="1"/>
  <c r="B399" i="3"/>
  <c r="A399" i="3" s="1"/>
  <c r="B400" i="3"/>
  <c r="A400" i="3" s="1"/>
  <c r="B401" i="3"/>
  <c r="A401" i="3" s="1"/>
  <c r="B402" i="3"/>
  <c r="A402" i="3" s="1"/>
  <c r="B403" i="3"/>
  <c r="A403" i="3" s="1"/>
  <c r="B404" i="3"/>
  <c r="A404" i="3" s="1"/>
  <c r="B125" i="3"/>
  <c r="A125" i="3" s="1"/>
  <c r="B406" i="3"/>
  <c r="A406" i="3" s="1"/>
  <c r="B407" i="3"/>
  <c r="A407" i="3" s="1"/>
  <c r="B408" i="3"/>
  <c r="A408" i="3" s="1"/>
  <c r="B409" i="3"/>
  <c r="A409" i="3" s="1"/>
  <c r="B410" i="3"/>
  <c r="A410" i="3" s="1"/>
  <c r="B411" i="3"/>
  <c r="A411" i="3" s="1"/>
  <c r="B412" i="3"/>
  <c r="A412" i="3" s="1"/>
  <c r="B413" i="3"/>
  <c r="A413" i="3" s="1"/>
  <c r="B414" i="3"/>
  <c r="A414" i="3" s="1"/>
  <c r="B415" i="3"/>
  <c r="A415" i="3" s="1"/>
  <c r="B416" i="3"/>
  <c r="A416" i="3" s="1"/>
  <c r="B417" i="3"/>
  <c r="A417" i="3" s="1"/>
  <c r="B418" i="3"/>
  <c r="A418" i="3" s="1"/>
  <c r="B419" i="3"/>
  <c r="A419" i="3" s="1"/>
  <c r="B425" i="3"/>
  <c r="A425" i="3" s="1"/>
  <c r="B426" i="3"/>
  <c r="A426" i="3" s="1"/>
  <c r="B427" i="3"/>
  <c r="A427" i="3" s="1"/>
  <c r="B428" i="3"/>
  <c r="A428" i="3" s="1"/>
  <c r="B429" i="3"/>
  <c r="A429" i="3" s="1"/>
  <c r="B430" i="3"/>
  <c r="A430" i="3" s="1"/>
  <c r="B431" i="3"/>
  <c r="A431" i="3" s="1"/>
  <c r="B432" i="3"/>
  <c r="A432" i="3" s="1"/>
  <c r="B433" i="3"/>
  <c r="A433" i="3" s="1"/>
  <c r="B434" i="3"/>
  <c r="A434" i="3" s="1"/>
  <c r="B435" i="3"/>
  <c r="A435" i="3" s="1"/>
  <c r="B436" i="3"/>
  <c r="A436" i="3" s="1"/>
  <c r="B437" i="3"/>
  <c r="A437" i="3" s="1"/>
  <c r="B438" i="3"/>
  <c r="A438" i="3" s="1"/>
  <c r="B439" i="3"/>
  <c r="A439" i="3" s="1"/>
  <c r="B440" i="3"/>
  <c r="A440" i="3" s="1"/>
  <c r="B441" i="3"/>
  <c r="A441" i="3" s="1"/>
  <c r="B442" i="3"/>
  <c r="A442" i="3" s="1"/>
  <c r="B443" i="3"/>
  <c r="A443" i="3" s="1"/>
  <c r="B446" i="3"/>
  <c r="A446" i="3" s="1"/>
  <c r="B447" i="3"/>
  <c r="A447" i="3" s="1"/>
  <c r="B448" i="3"/>
  <c r="A448" i="3" s="1"/>
  <c r="B449" i="3"/>
  <c r="A449" i="3" s="1"/>
  <c r="B450" i="3"/>
  <c r="A450" i="3" s="1"/>
  <c r="B451" i="3"/>
  <c r="A451" i="3" s="1"/>
  <c r="B452" i="3"/>
  <c r="A452" i="3" s="1"/>
  <c r="B453" i="3"/>
  <c r="A453" i="3" s="1"/>
  <c r="B454" i="3"/>
  <c r="A454" i="3" s="1"/>
  <c r="B455" i="3"/>
  <c r="A455" i="3" s="1"/>
  <c r="B456" i="3"/>
  <c r="A456" i="3" s="1"/>
  <c r="B457" i="3"/>
  <c r="A457" i="3" s="1"/>
  <c r="B458" i="3"/>
  <c r="A458" i="3" s="1"/>
  <c r="B459" i="3"/>
  <c r="A459" i="3" s="1"/>
  <c r="B230" i="3"/>
  <c r="A230" i="3" s="1"/>
  <c r="B231" i="3"/>
  <c r="A231" i="3" s="1"/>
  <c r="B232" i="3"/>
  <c r="A232" i="3" s="1"/>
  <c r="B233" i="3"/>
  <c r="A233" i="3" s="1"/>
  <c r="B234" i="3"/>
  <c r="A234" i="3" s="1"/>
  <c r="B235" i="3"/>
  <c r="A235" i="3" s="1"/>
  <c r="B236" i="3"/>
  <c r="A236" i="3" s="1"/>
  <c r="B237" i="3"/>
  <c r="A237" i="3" s="1"/>
  <c r="B238" i="3"/>
  <c r="A238" i="3" s="1"/>
  <c r="B239" i="3"/>
  <c r="A239" i="3" s="1"/>
  <c r="B240" i="3"/>
  <c r="A240" i="3" s="1"/>
  <c r="B241" i="3"/>
  <c r="A241" i="3" s="1"/>
  <c r="B242" i="3"/>
  <c r="A242" i="3" s="1"/>
  <c r="B243" i="3"/>
  <c r="A243" i="3" s="1"/>
  <c r="B244" i="3"/>
  <c r="A244" i="3" s="1"/>
  <c r="B245" i="3"/>
  <c r="A245" i="3" s="1"/>
  <c r="B246" i="3"/>
  <c r="A246" i="3" s="1"/>
  <c r="B247" i="3"/>
  <c r="A247" i="3" s="1"/>
  <c r="B248" i="3"/>
  <c r="A248" i="3" s="1"/>
  <c r="B477" i="3"/>
  <c r="A477" i="3" s="1"/>
  <c r="B478" i="3"/>
  <c r="A478" i="3" s="1"/>
  <c r="B479" i="3"/>
  <c r="A479" i="3" s="1"/>
  <c r="B483" i="3"/>
  <c r="A483" i="3" s="1"/>
  <c r="B484" i="3"/>
  <c r="A484" i="3" s="1"/>
  <c r="B485" i="3"/>
  <c r="A485" i="3" s="1"/>
  <c r="B487" i="3"/>
  <c r="A487" i="3" s="1"/>
  <c r="B488" i="3"/>
  <c r="A488" i="3" s="1"/>
  <c r="B489" i="3"/>
  <c r="A489" i="3" s="1"/>
  <c r="B494" i="3"/>
  <c r="A494" i="3" s="1"/>
  <c r="B495" i="3"/>
  <c r="A495" i="3" s="1"/>
  <c r="B496" i="3"/>
  <c r="A496" i="3" s="1"/>
  <c r="B497" i="3"/>
  <c r="A497" i="3" s="1"/>
  <c r="B498" i="3"/>
  <c r="A498" i="3" s="1"/>
  <c r="B499" i="3"/>
  <c r="A499" i="3" s="1"/>
  <c r="B502" i="3"/>
  <c r="A502" i="3" s="1"/>
  <c r="B503" i="3"/>
  <c r="A503" i="3" s="1"/>
  <c r="B504" i="3"/>
  <c r="A504" i="3" s="1"/>
  <c r="B505" i="3"/>
  <c r="A505" i="3" s="1"/>
  <c r="B506" i="3"/>
  <c r="A506" i="3" s="1"/>
  <c r="B507" i="3"/>
  <c r="A507" i="3" s="1"/>
  <c r="B508" i="3"/>
  <c r="A508" i="3" s="1"/>
  <c r="B509" i="3"/>
  <c r="A509" i="3" s="1"/>
  <c r="B510" i="3"/>
  <c r="A510" i="3" s="1"/>
  <c r="B511" i="3"/>
  <c r="A511" i="3" s="1"/>
  <c r="B512" i="3"/>
  <c r="A512" i="3" s="1"/>
  <c r="B513" i="3"/>
  <c r="A513" i="3" s="1"/>
  <c r="B515" i="3"/>
  <c r="A515" i="3" s="1"/>
  <c r="F2" i="8"/>
  <c r="F3" i="8"/>
  <c r="F4" i="8"/>
  <c r="F5" i="8"/>
  <c r="F6" i="8"/>
  <c r="F7" i="8"/>
  <c r="F8" i="8"/>
  <c r="F9" i="8"/>
  <c r="F10" i="8"/>
  <c r="F11" i="8"/>
  <c r="F12" i="8"/>
  <c r="F13" i="8"/>
  <c r="P4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5" i="3"/>
  <c r="P36" i="3"/>
  <c r="P37" i="3"/>
  <c r="P38" i="3"/>
  <c r="P39" i="3"/>
  <c r="P40" i="3"/>
  <c r="P41" i="3"/>
  <c r="P42" i="3"/>
  <c r="P43" i="3"/>
  <c r="P44" i="3"/>
  <c r="P45" i="3"/>
  <c r="P48" i="3"/>
  <c r="P49" i="3"/>
  <c r="P50" i="3"/>
  <c r="P51" i="3"/>
  <c r="P52" i="3"/>
  <c r="P53" i="3"/>
  <c r="P54" i="3"/>
  <c r="P55" i="3"/>
  <c r="P56" i="3"/>
  <c r="P57" i="3"/>
  <c r="P81" i="3"/>
  <c r="P82" i="3"/>
  <c r="P83" i="3"/>
  <c r="P84" i="3"/>
  <c r="P85" i="3"/>
  <c r="P86" i="3"/>
  <c r="P87" i="3"/>
  <c r="P88" i="3"/>
  <c r="P89" i="3"/>
  <c r="P71" i="3"/>
  <c r="P72" i="3"/>
  <c r="P73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24" i="3"/>
  <c r="P123" i="3"/>
  <c r="P119" i="3"/>
  <c r="P120" i="3"/>
  <c r="P130" i="3"/>
  <c r="P131" i="3"/>
  <c r="P132" i="3"/>
  <c r="P133" i="3"/>
  <c r="P134" i="3"/>
  <c r="P135" i="3"/>
  <c r="P136" i="3"/>
  <c r="P140" i="3"/>
  <c r="P141" i="3"/>
  <c r="P148" i="3"/>
  <c r="P149" i="3"/>
  <c r="P109" i="3"/>
  <c r="P110" i="3"/>
  <c r="P111" i="3"/>
  <c r="P112" i="3"/>
  <c r="P113" i="3"/>
  <c r="P114" i="3"/>
  <c r="P152" i="3"/>
  <c r="P153" i="3"/>
  <c r="P154" i="3"/>
  <c r="P155" i="3"/>
  <c r="P156" i="3"/>
  <c r="P157" i="3"/>
  <c r="P166" i="3"/>
  <c r="P167" i="3"/>
  <c r="P168" i="3"/>
  <c r="P169" i="3"/>
  <c r="P170" i="3"/>
  <c r="P176" i="3"/>
  <c r="P177" i="3"/>
  <c r="P180" i="3"/>
  <c r="P181" i="3"/>
  <c r="P182" i="3"/>
  <c r="P183" i="3"/>
  <c r="P184" i="3"/>
  <c r="P185" i="3"/>
  <c r="P186" i="3"/>
  <c r="P187" i="3"/>
  <c r="P188" i="3"/>
  <c r="P189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3" i="3"/>
  <c r="P214" i="3"/>
  <c r="P215" i="3"/>
  <c r="P216" i="3"/>
  <c r="P217" i="3"/>
  <c r="P218" i="3"/>
  <c r="P219" i="3"/>
  <c r="P220" i="3"/>
  <c r="P221" i="3"/>
  <c r="P223" i="3"/>
  <c r="P224" i="3"/>
  <c r="P225" i="3"/>
  <c r="P226" i="3"/>
  <c r="P227" i="3"/>
  <c r="P228" i="3"/>
  <c r="P229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5" i="3"/>
  <c r="P296" i="3"/>
  <c r="P311" i="3"/>
  <c r="P312" i="3"/>
  <c r="P313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5" i="3"/>
  <c r="P366" i="3"/>
  <c r="P367" i="3"/>
  <c r="P368" i="3"/>
  <c r="P369" i="3"/>
  <c r="P370" i="3"/>
  <c r="P395" i="3"/>
  <c r="P396" i="3"/>
  <c r="P397" i="3"/>
  <c r="P398" i="3"/>
  <c r="P399" i="3"/>
  <c r="P400" i="3"/>
  <c r="P401" i="3"/>
  <c r="P402" i="3"/>
  <c r="P403" i="3"/>
  <c r="P404" i="3"/>
  <c r="P12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477" i="3"/>
  <c r="P478" i="3"/>
  <c r="P479" i="3"/>
  <c r="P483" i="3"/>
  <c r="P484" i="3"/>
  <c r="P485" i="3"/>
  <c r="P487" i="3"/>
  <c r="P488" i="3"/>
  <c r="P489" i="3"/>
  <c r="P494" i="3"/>
  <c r="P495" i="3"/>
  <c r="P496" i="3"/>
  <c r="P497" i="3"/>
  <c r="P498" i="3"/>
  <c r="P499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5" i="3"/>
  <c r="M4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5" i="3"/>
  <c r="M36" i="3"/>
  <c r="M37" i="3"/>
  <c r="M38" i="3"/>
  <c r="M39" i="3"/>
  <c r="M40" i="3"/>
  <c r="M41" i="3"/>
  <c r="M42" i="3"/>
  <c r="M43" i="3"/>
  <c r="M44" i="3"/>
  <c r="M45" i="3"/>
  <c r="M48" i="3"/>
  <c r="M49" i="3"/>
  <c r="M50" i="3"/>
  <c r="M51" i="3"/>
  <c r="M52" i="3"/>
  <c r="M53" i="3"/>
  <c r="M54" i="3"/>
  <c r="M55" i="3"/>
  <c r="M56" i="3"/>
  <c r="M57" i="3"/>
  <c r="M81" i="3"/>
  <c r="M82" i="3"/>
  <c r="M83" i="3"/>
  <c r="M84" i="3"/>
  <c r="M85" i="3"/>
  <c r="M86" i="3"/>
  <c r="M87" i="3"/>
  <c r="M88" i="3"/>
  <c r="M89" i="3"/>
  <c r="M71" i="3"/>
  <c r="M72" i="3"/>
  <c r="M73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24" i="3"/>
  <c r="M123" i="3"/>
  <c r="M119" i="3"/>
  <c r="M120" i="3"/>
  <c r="M130" i="3"/>
  <c r="M131" i="3"/>
  <c r="M132" i="3"/>
  <c r="M133" i="3"/>
  <c r="M134" i="3"/>
  <c r="M135" i="3"/>
  <c r="M136" i="3"/>
  <c r="M140" i="3"/>
  <c r="M141" i="3"/>
  <c r="M148" i="3"/>
  <c r="M149" i="3"/>
  <c r="M109" i="3"/>
  <c r="M110" i="3"/>
  <c r="M111" i="3"/>
  <c r="M112" i="3"/>
  <c r="M113" i="3"/>
  <c r="M114" i="3"/>
  <c r="M152" i="3"/>
  <c r="M153" i="3"/>
  <c r="M154" i="3"/>
  <c r="M155" i="3"/>
  <c r="M156" i="3"/>
  <c r="M157" i="3"/>
  <c r="M166" i="3"/>
  <c r="M167" i="3"/>
  <c r="M168" i="3"/>
  <c r="M169" i="3"/>
  <c r="M170" i="3"/>
  <c r="M176" i="3"/>
  <c r="M177" i="3"/>
  <c r="M180" i="3"/>
  <c r="M181" i="3"/>
  <c r="M182" i="3"/>
  <c r="M183" i="3"/>
  <c r="M184" i="3"/>
  <c r="M185" i="3"/>
  <c r="M186" i="3"/>
  <c r="M187" i="3"/>
  <c r="M188" i="3"/>
  <c r="M189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3" i="3"/>
  <c r="M214" i="3"/>
  <c r="M215" i="3"/>
  <c r="M216" i="3"/>
  <c r="M217" i="3"/>
  <c r="M218" i="3"/>
  <c r="M219" i="3"/>
  <c r="M220" i="3"/>
  <c r="M221" i="3"/>
  <c r="M223" i="3"/>
  <c r="M224" i="3"/>
  <c r="M225" i="3"/>
  <c r="M226" i="3"/>
  <c r="M227" i="3"/>
  <c r="M228" i="3"/>
  <c r="M229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5" i="3"/>
  <c r="M296" i="3"/>
  <c r="M311" i="3"/>
  <c r="M312" i="3"/>
  <c r="M313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5" i="3"/>
  <c r="M366" i="3"/>
  <c r="M367" i="3"/>
  <c r="M368" i="3"/>
  <c r="M369" i="3"/>
  <c r="M370" i="3"/>
  <c r="M395" i="3"/>
  <c r="M396" i="3"/>
  <c r="M397" i="3"/>
  <c r="M398" i="3"/>
  <c r="M399" i="3"/>
  <c r="M400" i="3"/>
  <c r="M401" i="3"/>
  <c r="M402" i="3"/>
  <c r="M403" i="3"/>
  <c r="M404" i="3"/>
  <c r="M12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477" i="3"/>
  <c r="M478" i="3"/>
  <c r="M479" i="3"/>
  <c r="M483" i="3"/>
  <c r="M484" i="3"/>
  <c r="M485" i="3"/>
  <c r="M487" i="3"/>
  <c r="M488" i="3"/>
  <c r="M489" i="3"/>
  <c r="M494" i="3"/>
  <c r="M495" i="3"/>
  <c r="M496" i="3"/>
  <c r="M497" i="3"/>
  <c r="M498" i="3"/>
  <c r="M499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5" i="3"/>
  <c r="I5" i="3"/>
  <c r="I58" i="3"/>
  <c r="I249" i="3"/>
  <c r="I34" i="3"/>
  <c r="I46" i="3"/>
  <c r="I47" i="3"/>
  <c r="I59" i="3"/>
  <c r="I60" i="3"/>
  <c r="I61" i="3"/>
  <c r="I62" i="3"/>
  <c r="I63" i="3"/>
  <c r="I64" i="3"/>
  <c r="I65" i="3"/>
  <c r="I66" i="3"/>
  <c r="I67" i="3"/>
  <c r="I68" i="3"/>
  <c r="I69" i="3"/>
  <c r="I70" i="3"/>
  <c r="I74" i="3"/>
  <c r="I75" i="3"/>
  <c r="I76" i="3"/>
  <c r="I77" i="3"/>
  <c r="I78" i="3"/>
  <c r="I79" i="3"/>
  <c r="I80" i="3"/>
  <c r="I107" i="3"/>
  <c r="I108" i="3"/>
  <c r="I118" i="3"/>
  <c r="I121" i="3"/>
  <c r="I122" i="3"/>
  <c r="I126" i="3"/>
  <c r="I127" i="3"/>
  <c r="I128" i="3"/>
  <c r="I129" i="3"/>
  <c r="I137" i="3"/>
  <c r="I138" i="3"/>
  <c r="I139" i="3"/>
  <c r="I142" i="3"/>
  <c r="I143" i="3"/>
  <c r="I144" i="3"/>
  <c r="I145" i="3"/>
  <c r="I146" i="3"/>
  <c r="I147" i="3"/>
  <c r="I150" i="3"/>
  <c r="I115" i="3"/>
  <c r="I116" i="3"/>
  <c r="I117" i="3"/>
  <c r="I151" i="3"/>
  <c r="I158" i="3"/>
  <c r="I159" i="3"/>
  <c r="I172" i="3"/>
  <c r="I173" i="3"/>
  <c r="I174" i="3"/>
  <c r="I175" i="3"/>
  <c r="I160" i="3"/>
  <c r="I161" i="3"/>
  <c r="I162" i="3"/>
  <c r="I163" i="3"/>
  <c r="I164" i="3"/>
  <c r="I165" i="3"/>
  <c r="I171" i="3"/>
  <c r="I178" i="3"/>
  <c r="I179" i="3"/>
  <c r="I190" i="3"/>
  <c r="I212" i="3"/>
  <c r="I222" i="3"/>
  <c r="I250" i="3"/>
  <c r="I251" i="3"/>
  <c r="I252" i="3"/>
  <c r="I253" i="3"/>
  <c r="I254" i="3"/>
  <c r="I255" i="3"/>
  <c r="I256" i="3"/>
  <c r="I290" i="3"/>
  <c r="I291" i="3"/>
  <c r="I292" i="3"/>
  <c r="I293" i="3"/>
  <c r="I294" i="3"/>
  <c r="I297" i="3"/>
  <c r="I298" i="3"/>
  <c r="I299" i="3"/>
  <c r="I300" i="3"/>
  <c r="I301" i="3"/>
  <c r="I362" i="3"/>
  <c r="I363" i="3"/>
  <c r="I302" i="3"/>
  <c r="I303" i="3"/>
  <c r="I304" i="3"/>
  <c r="I305" i="3"/>
  <c r="I306" i="3"/>
  <c r="I307" i="3"/>
  <c r="I308" i="3"/>
  <c r="I309" i="3"/>
  <c r="I310" i="3"/>
  <c r="I314" i="3"/>
  <c r="I315" i="3"/>
  <c r="I360" i="3"/>
  <c r="I361" i="3"/>
  <c r="I364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405" i="3"/>
  <c r="I420" i="3"/>
  <c r="I421" i="3"/>
  <c r="I422" i="3"/>
  <c r="I423" i="3"/>
  <c r="I424" i="3"/>
  <c r="I444" i="3"/>
  <c r="I445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80" i="3"/>
  <c r="I481" i="3"/>
  <c r="I482" i="3"/>
  <c r="I486" i="3"/>
  <c r="I490" i="3"/>
  <c r="I491" i="3"/>
  <c r="I492" i="3"/>
  <c r="I493" i="3"/>
  <c r="I500" i="3"/>
  <c r="I501" i="3"/>
  <c r="I514" i="3"/>
  <c r="I4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5" i="3"/>
  <c r="I36" i="3"/>
  <c r="I37" i="3"/>
  <c r="I38" i="3"/>
  <c r="I39" i="3"/>
  <c r="I40" i="3"/>
  <c r="I41" i="3"/>
  <c r="I42" i="3"/>
  <c r="I43" i="3"/>
  <c r="I44" i="3"/>
  <c r="I45" i="3"/>
  <c r="I48" i="3"/>
  <c r="I49" i="3"/>
  <c r="I50" i="3"/>
  <c r="I51" i="3"/>
  <c r="I52" i="3"/>
  <c r="I53" i="3"/>
  <c r="I54" i="3"/>
  <c r="I55" i="3"/>
  <c r="I56" i="3"/>
  <c r="I57" i="3"/>
  <c r="I81" i="3"/>
  <c r="I82" i="3"/>
  <c r="I83" i="3"/>
  <c r="I84" i="3"/>
  <c r="I85" i="3"/>
  <c r="I86" i="3"/>
  <c r="I87" i="3"/>
  <c r="I88" i="3"/>
  <c r="I89" i="3"/>
  <c r="I71" i="3"/>
  <c r="I72" i="3"/>
  <c r="I73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24" i="3"/>
  <c r="I123" i="3"/>
  <c r="I119" i="3"/>
  <c r="I120" i="3"/>
  <c r="I130" i="3"/>
  <c r="I131" i="3"/>
  <c r="I132" i="3"/>
  <c r="I133" i="3"/>
  <c r="I134" i="3"/>
  <c r="I135" i="3"/>
  <c r="I136" i="3"/>
  <c r="I140" i="3"/>
  <c r="I141" i="3"/>
  <c r="I148" i="3"/>
  <c r="I149" i="3"/>
  <c r="I109" i="3"/>
  <c r="I110" i="3"/>
  <c r="I111" i="3"/>
  <c r="I112" i="3"/>
  <c r="I113" i="3"/>
  <c r="I114" i="3"/>
  <c r="I152" i="3"/>
  <c r="I153" i="3"/>
  <c r="I154" i="3"/>
  <c r="I155" i="3"/>
  <c r="I156" i="3"/>
  <c r="I157" i="3"/>
  <c r="I166" i="3"/>
  <c r="I167" i="3"/>
  <c r="I168" i="3"/>
  <c r="I169" i="3"/>
  <c r="I170" i="3"/>
  <c r="I176" i="3"/>
  <c r="I177" i="3"/>
  <c r="I180" i="3"/>
  <c r="I181" i="3"/>
  <c r="I182" i="3"/>
  <c r="I183" i="3"/>
  <c r="I184" i="3"/>
  <c r="I185" i="3"/>
  <c r="I186" i="3"/>
  <c r="I187" i="3"/>
  <c r="I188" i="3"/>
  <c r="I189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3" i="3"/>
  <c r="I214" i="3"/>
  <c r="I215" i="3"/>
  <c r="I216" i="3"/>
  <c r="I217" i="3"/>
  <c r="I218" i="3"/>
  <c r="I219" i="3"/>
  <c r="I220" i="3"/>
  <c r="I221" i="3"/>
  <c r="I223" i="3"/>
  <c r="I224" i="3"/>
  <c r="I225" i="3"/>
  <c r="I226" i="3"/>
  <c r="I227" i="3"/>
  <c r="I228" i="3"/>
  <c r="I229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5" i="3"/>
  <c r="I296" i="3"/>
  <c r="I311" i="3"/>
  <c r="I312" i="3"/>
  <c r="I313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5" i="3"/>
  <c r="I366" i="3"/>
  <c r="I367" i="3"/>
  <c r="I368" i="3"/>
  <c r="I369" i="3"/>
  <c r="I370" i="3"/>
  <c r="I395" i="3"/>
  <c r="I396" i="3"/>
  <c r="I397" i="3"/>
  <c r="I398" i="3"/>
  <c r="I399" i="3"/>
  <c r="I400" i="3"/>
  <c r="I401" i="3"/>
  <c r="I402" i="3"/>
  <c r="I403" i="3"/>
  <c r="I404" i="3"/>
  <c r="I12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477" i="3"/>
  <c r="I478" i="3"/>
  <c r="I479" i="3"/>
  <c r="I483" i="3"/>
  <c r="I484" i="3"/>
  <c r="I485" i="3"/>
  <c r="I487" i="3"/>
  <c r="I488" i="3"/>
  <c r="I489" i="3"/>
  <c r="I494" i="3"/>
  <c r="I495" i="3"/>
  <c r="I496" i="3"/>
  <c r="I497" i="3"/>
  <c r="I498" i="3"/>
  <c r="I499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5" i="3"/>
  <c r="I3" i="3"/>
  <c r="R508" i="3" l="1"/>
  <c r="S508" i="3"/>
  <c r="Q508" i="3"/>
  <c r="R498" i="3"/>
  <c r="S498" i="3"/>
  <c r="Q498" i="3"/>
  <c r="R485" i="3"/>
  <c r="S485" i="3"/>
  <c r="Q485" i="3"/>
  <c r="S238" i="3"/>
  <c r="R238" i="3"/>
  <c r="Q238" i="3"/>
  <c r="S452" i="3"/>
  <c r="Q452" i="3"/>
  <c r="R452" i="3"/>
  <c r="R434" i="3"/>
  <c r="S434" i="3"/>
  <c r="Q434" i="3"/>
  <c r="R426" i="3"/>
  <c r="S426" i="3"/>
  <c r="Q426" i="3"/>
  <c r="Q365" i="3"/>
  <c r="S365" i="3"/>
  <c r="R365" i="3"/>
  <c r="R352" i="3"/>
  <c r="Q352" i="3"/>
  <c r="S352" i="3"/>
  <c r="S344" i="3"/>
  <c r="R344" i="3"/>
  <c r="Q344" i="3"/>
  <c r="S336" i="3"/>
  <c r="R336" i="3"/>
  <c r="Q336" i="3"/>
  <c r="S296" i="3"/>
  <c r="R296" i="3"/>
  <c r="Q296" i="3"/>
  <c r="S283" i="3"/>
  <c r="R283" i="3"/>
  <c r="Q283" i="3"/>
  <c r="S275" i="3"/>
  <c r="R275" i="3"/>
  <c r="Q275" i="3"/>
  <c r="S259" i="3"/>
  <c r="R259" i="3"/>
  <c r="Q259" i="3"/>
  <c r="S224" i="3"/>
  <c r="R224" i="3"/>
  <c r="Q224" i="3"/>
  <c r="S215" i="3"/>
  <c r="R215" i="3"/>
  <c r="Q215" i="3"/>
  <c r="S206" i="3"/>
  <c r="R206" i="3"/>
  <c r="Q206" i="3"/>
  <c r="S198" i="3"/>
  <c r="R198" i="3"/>
  <c r="Q198" i="3"/>
  <c r="S181" i="3"/>
  <c r="R181" i="3"/>
  <c r="Q181" i="3"/>
  <c r="S113" i="3"/>
  <c r="R113" i="3"/>
  <c r="Q113" i="3"/>
  <c r="S102" i="3"/>
  <c r="R102" i="3"/>
  <c r="Q102" i="3"/>
  <c r="S94" i="3"/>
  <c r="R94" i="3"/>
  <c r="Q94" i="3"/>
  <c r="S81" i="3"/>
  <c r="R81" i="3"/>
  <c r="Q81" i="3"/>
  <c r="R50" i="3"/>
  <c r="Q50" i="3"/>
  <c r="S50" i="3"/>
  <c r="S40" i="3"/>
  <c r="R40" i="3"/>
  <c r="Q40" i="3"/>
  <c r="S31" i="3"/>
  <c r="R31" i="3"/>
  <c r="Q31" i="3"/>
  <c r="S23" i="3"/>
  <c r="R23" i="3"/>
  <c r="Q23" i="3"/>
  <c r="S15" i="3"/>
  <c r="R15" i="3"/>
  <c r="Q15" i="3"/>
  <c r="S7" i="3"/>
  <c r="R7" i="3"/>
  <c r="Q7" i="3"/>
  <c r="S345" i="3"/>
  <c r="R345" i="3"/>
  <c r="Q345" i="3"/>
  <c r="S276" i="3"/>
  <c r="R276" i="3"/>
  <c r="Q276" i="3"/>
  <c r="S82" i="3"/>
  <c r="R82" i="3"/>
  <c r="Q82" i="3"/>
  <c r="S24" i="3"/>
  <c r="R24" i="3"/>
  <c r="Q24" i="3"/>
  <c r="S507" i="3"/>
  <c r="R507" i="3"/>
  <c r="Q507" i="3"/>
  <c r="Q497" i="3"/>
  <c r="S497" i="3"/>
  <c r="R497" i="3"/>
  <c r="S484" i="3"/>
  <c r="R484" i="3"/>
  <c r="Q484" i="3"/>
  <c r="R245" i="3"/>
  <c r="S245" i="3"/>
  <c r="Q245" i="3"/>
  <c r="R237" i="3"/>
  <c r="Q237" i="3"/>
  <c r="S237" i="3"/>
  <c r="S459" i="3"/>
  <c r="Q459" i="3"/>
  <c r="R459" i="3"/>
  <c r="S451" i="3"/>
  <c r="Q451" i="3"/>
  <c r="R451" i="3"/>
  <c r="R433" i="3"/>
  <c r="Q433" i="3"/>
  <c r="S433" i="3"/>
  <c r="R425" i="3"/>
  <c r="S425" i="3"/>
  <c r="Q425" i="3"/>
  <c r="S359" i="3"/>
  <c r="R359" i="3"/>
  <c r="Q359" i="3"/>
  <c r="S351" i="3"/>
  <c r="R351" i="3"/>
  <c r="Q351" i="3"/>
  <c r="S343" i="3"/>
  <c r="R343" i="3"/>
  <c r="Q343" i="3"/>
  <c r="S335" i="3"/>
  <c r="R335" i="3"/>
  <c r="Q335" i="3"/>
  <c r="S295" i="3"/>
  <c r="R295" i="3"/>
  <c r="Q295" i="3"/>
  <c r="S282" i="3"/>
  <c r="R282" i="3"/>
  <c r="Q282" i="3"/>
  <c r="S266" i="3"/>
  <c r="R266" i="3"/>
  <c r="Q266" i="3"/>
  <c r="S258" i="3"/>
  <c r="R258" i="3"/>
  <c r="Q258" i="3"/>
  <c r="S223" i="3"/>
  <c r="R223" i="3"/>
  <c r="Q223" i="3"/>
  <c r="S214" i="3"/>
  <c r="R214" i="3"/>
  <c r="Q214" i="3"/>
  <c r="S205" i="3"/>
  <c r="R205" i="3"/>
  <c r="Q205" i="3"/>
  <c r="S197" i="3"/>
  <c r="R197" i="3"/>
  <c r="Q197" i="3"/>
  <c r="S188" i="3"/>
  <c r="R188" i="3"/>
  <c r="Q188" i="3"/>
  <c r="S180" i="3"/>
  <c r="R180" i="3"/>
  <c r="Q180" i="3"/>
  <c r="R112" i="3"/>
  <c r="Q112" i="3"/>
  <c r="S112" i="3"/>
  <c r="S101" i="3"/>
  <c r="R101" i="3"/>
  <c r="Q101" i="3"/>
  <c r="S93" i="3"/>
  <c r="R93" i="3"/>
  <c r="Q93" i="3"/>
  <c r="S49" i="3"/>
  <c r="R49" i="3"/>
  <c r="Q49" i="3"/>
  <c r="S39" i="3"/>
  <c r="R39" i="3"/>
  <c r="Q39" i="3"/>
  <c r="S30" i="3"/>
  <c r="R30" i="3"/>
  <c r="Q30" i="3"/>
  <c r="S22" i="3"/>
  <c r="R22" i="3"/>
  <c r="Q22" i="3"/>
  <c r="S14" i="3"/>
  <c r="R14" i="3"/>
  <c r="Q14" i="3"/>
  <c r="S6" i="3"/>
  <c r="R6" i="3"/>
  <c r="Q6" i="3"/>
  <c r="R509" i="3"/>
  <c r="Q509" i="3"/>
  <c r="S509" i="3"/>
  <c r="R239" i="3"/>
  <c r="S239" i="3"/>
  <c r="Q239" i="3"/>
  <c r="S427" i="3"/>
  <c r="Q427" i="3"/>
  <c r="R427" i="3"/>
  <c r="R366" i="3"/>
  <c r="Q366" i="3"/>
  <c r="S366" i="3"/>
  <c r="S329" i="3"/>
  <c r="R329" i="3"/>
  <c r="Q329" i="3"/>
  <c r="S284" i="3"/>
  <c r="R284" i="3"/>
  <c r="Q284" i="3"/>
  <c r="S225" i="3"/>
  <c r="R225" i="3"/>
  <c r="Q225" i="3"/>
  <c r="S199" i="3"/>
  <c r="R199" i="3"/>
  <c r="Q199" i="3"/>
  <c r="S103" i="3"/>
  <c r="R103" i="3"/>
  <c r="Q103" i="3"/>
  <c r="S51" i="3"/>
  <c r="R51" i="3"/>
  <c r="Q51" i="3"/>
  <c r="S16" i="3"/>
  <c r="R16" i="3"/>
  <c r="Q16" i="3"/>
  <c r="R515" i="3"/>
  <c r="Q515" i="3"/>
  <c r="S515" i="3"/>
  <c r="S496" i="3"/>
  <c r="Q496" i="3"/>
  <c r="R496" i="3"/>
  <c r="S244" i="3"/>
  <c r="Q244" i="3"/>
  <c r="R244" i="3"/>
  <c r="R458" i="3"/>
  <c r="S458" i="3"/>
  <c r="Q458" i="3"/>
  <c r="R419" i="3"/>
  <c r="Q419" i="3"/>
  <c r="S419" i="3"/>
  <c r="S358" i="3"/>
  <c r="R358" i="3"/>
  <c r="Q358" i="3"/>
  <c r="R342" i="3"/>
  <c r="Q342" i="3"/>
  <c r="S342" i="3"/>
  <c r="S281" i="3"/>
  <c r="R281" i="3"/>
  <c r="Q281" i="3"/>
  <c r="S265" i="3"/>
  <c r="R265" i="3"/>
  <c r="Q265" i="3"/>
  <c r="S221" i="3"/>
  <c r="R221" i="3"/>
  <c r="Q221" i="3"/>
  <c r="S204" i="3"/>
  <c r="R204" i="3"/>
  <c r="Q204" i="3"/>
  <c r="R187" i="3"/>
  <c r="Q187" i="3"/>
  <c r="S187" i="3"/>
  <c r="S123" i="3"/>
  <c r="R123" i="3"/>
  <c r="Q123" i="3"/>
  <c r="S100" i="3"/>
  <c r="R100" i="3"/>
  <c r="Q100" i="3"/>
  <c r="S92" i="3"/>
  <c r="R92" i="3"/>
  <c r="Q92" i="3"/>
  <c r="S48" i="3"/>
  <c r="R48" i="3"/>
  <c r="Q48" i="3"/>
  <c r="S38" i="3"/>
  <c r="R38" i="3"/>
  <c r="Q38" i="3"/>
  <c r="S29" i="3"/>
  <c r="R29" i="3"/>
  <c r="Q29" i="3"/>
  <c r="S21" i="3"/>
  <c r="R21" i="3"/>
  <c r="Q21" i="3"/>
  <c r="R4" i="3"/>
  <c r="Q4" i="3"/>
  <c r="S4" i="3"/>
  <c r="R487" i="3"/>
  <c r="Q487" i="3"/>
  <c r="S487" i="3"/>
  <c r="Q453" i="3"/>
  <c r="S453" i="3"/>
  <c r="R453" i="3"/>
  <c r="R414" i="3"/>
  <c r="S414" i="3"/>
  <c r="Q414" i="3"/>
  <c r="S353" i="3"/>
  <c r="R353" i="3"/>
  <c r="Q353" i="3"/>
  <c r="S216" i="3"/>
  <c r="R216" i="3"/>
  <c r="Q216" i="3"/>
  <c r="S191" i="3"/>
  <c r="R191" i="3"/>
  <c r="Q191" i="3"/>
  <c r="S71" i="3"/>
  <c r="R71" i="3"/>
  <c r="Q71" i="3"/>
  <c r="S41" i="3"/>
  <c r="R41" i="3"/>
  <c r="Q41" i="3"/>
  <c r="S8" i="3"/>
  <c r="R8" i="3"/>
  <c r="Q8" i="3"/>
  <c r="R506" i="3"/>
  <c r="Q506" i="3"/>
  <c r="S506" i="3"/>
  <c r="R483" i="3"/>
  <c r="Q483" i="3"/>
  <c r="S483" i="3"/>
  <c r="S236" i="3"/>
  <c r="Q236" i="3"/>
  <c r="R236" i="3"/>
  <c r="R450" i="3"/>
  <c r="Q450" i="3"/>
  <c r="S450" i="3"/>
  <c r="R432" i="3"/>
  <c r="S432" i="3"/>
  <c r="Q432" i="3"/>
  <c r="S350" i="3"/>
  <c r="R350" i="3"/>
  <c r="Q350" i="3"/>
  <c r="R334" i="3"/>
  <c r="Q334" i="3"/>
  <c r="S334" i="3"/>
  <c r="S289" i="3"/>
  <c r="R289" i="3"/>
  <c r="Q289" i="3"/>
  <c r="S257" i="3"/>
  <c r="R257" i="3"/>
  <c r="Q257" i="3"/>
  <c r="S213" i="3"/>
  <c r="R213" i="3"/>
  <c r="Q213" i="3"/>
  <c r="S196" i="3"/>
  <c r="R196" i="3"/>
  <c r="Q196" i="3"/>
  <c r="S13" i="3"/>
  <c r="R13" i="3"/>
  <c r="Q13" i="3"/>
  <c r="R505" i="3"/>
  <c r="Q505" i="3"/>
  <c r="S505" i="3"/>
  <c r="S495" i="3"/>
  <c r="Q495" i="3"/>
  <c r="R495" i="3"/>
  <c r="R479" i="3"/>
  <c r="S479" i="3"/>
  <c r="Q479" i="3"/>
  <c r="S243" i="3"/>
  <c r="Q243" i="3"/>
  <c r="R243" i="3"/>
  <c r="S235" i="3"/>
  <c r="Q235" i="3"/>
  <c r="R235" i="3"/>
  <c r="R457" i="3"/>
  <c r="S457" i="3"/>
  <c r="Q457" i="3"/>
  <c r="R449" i="3"/>
  <c r="S449" i="3"/>
  <c r="Q449" i="3"/>
  <c r="S431" i="3"/>
  <c r="R431" i="3"/>
  <c r="Q431" i="3"/>
  <c r="S418" i="3"/>
  <c r="R418" i="3"/>
  <c r="Q418" i="3"/>
  <c r="R370" i="3"/>
  <c r="S370" i="3"/>
  <c r="Q370" i="3"/>
  <c r="S357" i="3"/>
  <c r="R357" i="3"/>
  <c r="Q357" i="3"/>
  <c r="S349" i="3"/>
  <c r="R349" i="3"/>
  <c r="Q349" i="3"/>
  <c r="S341" i="3"/>
  <c r="R341" i="3"/>
  <c r="Q341" i="3"/>
  <c r="S288" i="3"/>
  <c r="R288" i="3"/>
  <c r="Q288" i="3"/>
  <c r="S280" i="3"/>
  <c r="R280" i="3"/>
  <c r="Q280" i="3"/>
  <c r="S264" i="3"/>
  <c r="R264" i="3"/>
  <c r="Q264" i="3"/>
  <c r="S229" i="3"/>
  <c r="R229" i="3"/>
  <c r="Q229" i="3"/>
  <c r="R220" i="3"/>
  <c r="Q220" i="3"/>
  <c r="S220" i="3"/>
  <c r="R203" i="3"/>
  <c r="Q203" i="3"/>
  <c r="S203" i="3"/>
  <c r="R195" i="3"/>
  <c r="Q195" i="3"/>
  <c r="S195" i="3"/>
  <c r="S186" i="3"/>
  <c r="R186" i="3"/>
  <c r="Q186" i="3"/>
  <c r="S124" i="3"/>
  <c r="R124" i="3"/>
  <c r="Q124" i="3"/>
  <c r="S99" i="3"/>
  <c r="R99" i="3"/>
  <c r="Q99" i="3"/>
  <c r="S91" i="3"/>
  <c r="R91" i="3"/>
  <c r="Q91" i="3"/>
  <c r="S55" i="3"/>
  <c r="R55" i="3"/>
  <c r="Q55" i="3"/>
  <c r="S37" i="3"/>
  <c r="R37" i="3"/>
  <c r="Q37" i="3"/>
  <c r="S28" i="3"/>
  <c r="R28" i="3"/>
  <c r="Q28" i="3"/>
  <c r="S20" i="3"/>
  <c r="R20" i="3"/>
  <c r="Q20" i="3"/>
  <c r="R12" i="3"/>
  <c r="Q12" i="3"/>
  <c r="S12" i="3"/>
  <c r="S435" i="3"/>
  <c r="Q435" i="3"/>
  <c r="R435" i="3"/>
  <c r="S337" i="3"/>
  <c r="R337" i="3"/>
  <c r="Q337" i="3"/>
  <c r="S260" i="3"/>
  <c r="R260" i="3"/>
  <c r="Q260" i="3"/>
  <c r="S207" i="3"/>
  <c r="R207" i="3"/>
  <c r="Q207" i="3"/>
  <c r="S182" i="3"/>
  <c r="R182" i="3"/>
  <c r="Q182" i="3"/>
  <c r="S95" i="3"/>
  <c r="R95" i="3"/>
  <c r="Q95" i="3"/>
  <c r="S512" i="3"/>
  <c r="Q512" i="3"/>
  <c r="R512" i="3"/>
  <c r="S504" i="3"/>
  <c r="R504" i="3"/>
  <c r="Q504" i="3"/>
  <c r="R494" i="3"/>
  <c r="Q494" i="3"/>
  <c r="S494" i="3"/>
  <c r="R478" i="3"/>
  <c r="Q478" i="3"/>
  <c r="S478" i="3"/>
  <c r="S242" i="3"/>
  <c r="Q242" i="3"/>
  <c r="R242" i="3"/>
  <c r="S234" i="3"/>
  <c r="Q234" i="3"/>
  <c r="R234" i="3"/>
  <c r="R456" i="3"/>
  <c r="S456" i="3"/>
  <c r="Q456" i="3"/>
  <c r="R448" i="3"/>
  <c r="S448" i="3"/>
  <c r="Q448" i="3"/>
  <c r="R438" i="3"/>
  <c r="Q438" i="3"/>
  <c r="S438" i="3"/>
  <c r="R430" i="3"/>
  <c r="Q430" i="3"/>
  <c r="S430" i="3"/>
  <c r="S417" i="3"/>
  <c r="R417" i="3"/>
  <c r="Q417" i="3"/>
  <c r="R369" i="3"/>
  <c r="Q369" i="3"/>
  <c r="S369" i="3"/>
  <c r="R356" i="3"/>
  <c r="S356" i="3"/>
  <c r="Q356" i="3"/>
  <c r="R348" i="3"/>
  <c r="Q348" i="3"/>
  <c r="S348" i="3"/>
  <c r="S340" i="3"/>
  <c r="R340" i="3"/>
  <c r="Q340" i="3"/>
  <c r="S287" i="3"/>
  <c r="R287" i="3"/>
  <c r="Q287" i="3"/>
  <c r="S279" i="3"/>
  <c r="R279" i="3"/>
  <c r="Q279" i="3"/>
  <c r="S263" i="3"/>
  <c r="R263" i="3"/>
  <c r="Q263" i="3"/>
  <c r="R228" i="3"/>
  <c r="Q228" i="3"/>
  <c r="S228" i="3"/>
  <c r="S219" i="3"/>
  <c r="R219" i="3"/>
  <c r="Q219" i="3"/>
  <c r="S210" i="3"/>
  <c r="R210" i="3"/>
  <c r="Q210" i="3"/>
  <c r="S202" i="3"/>
  <c r="R202" i="3"/>
  <c r="Q202" i="3"/>
  <c r="S194" i="3"/>
  <c r="R194" i="3"/>
  <c r="Q194" i="3"/>
  <c r="S185" i="3"/>
  <c r="R185" i="3"/>
  <c r="Q185" i="3"/>
  <c r="S154" i="3"/>
  <c r="R154" i="3"/>
  <c r="Q154" i="3"/>
  <c r="S133" i="3"/>
  <c r="R133" i="3"/>
  <c r="Q133" i="3"/>
  <c r="S106" i="3"/>
  <c r="R106" i="3"/>
  <c r="Q106" i="3"/>
  <c r="S98" i="3"/>
  <c r="R98" i="3"/>
  <c r="Q98" i="3"/>
  <c r="S90" i="3"/>
  <c r="R90" i="3"/>
  <c r="Q90" i="3"/>
  <c r="S54" i="3"/>
  <c r="Q54" i="3"/>
  <c r="R54" i="3"/>
  <c r="S36" i="3"/>
  <c r="R36" i="3"/>
  <c r="Q36" i="3"/>
  <c r="S27" i="3"/>
  <c r="R27" i="3"/>
  <c r="Q27" i="3"/>
  <c r="S19" i="3"/>
  <c r="R19" i="3"/>
  <c r="Q19" i="3"/>
  <c r="S11" i="3"/>
  <c r="R11" i="3"/>
  <c r="Q11" i="3"/>
  <c r="S511" i="3"/>
  <c r="Q511" i="3"/>
  <c r="R511" i="3"/>
  <c r="S503" i="3"/>
  <c r="Q503" i="3"/>
  <c r="R503" i="3"/>
  <c r="S489" i="3"/>
  <c r="Q489" i="3"/>
  <c r="R489" i="3"/>
  <c r="R477" i="3"/>
  <c r="S477" i="3"/>
  <c r="Q477" i="3"/>
  <c r="R241" i="3"/>
  <c r="S241" i="3"/>
  <c r="Q241" i="3"/>
  <c r="R233" i="3"/>
  <c r="S233" i="3"/>
  <c r="Q233" i="3"/>
  <c r="S455" i="3"/>
  <c r="R455" i="3"/>
  <c r="Q455" i="3"/>
  <c r="S447" i="3"/>
  <c r="R447" i="3"/>
  <c r="Q447" i="3"/>
  <c r="R437" i="3"/>
  <c r="S437" i="3"/>
  <c r="Q437" i="3"/>
  <c r="Q429" i="3"/>
  <c r="S429" i="3"/>
  <c r="R429" i="3"/>
  <c r="R416" i="3"/>
  <c r="Q416" i="3"/>
  <c r="S416" i="3"/>
  <c r="R368" i="3"/>
  <c r="S368" i="3"/>
  <c r="Q368" i="3"/>
  <c r="S355" i="3"/>
  <c r="R355" i="3"/>
  <c r="Q355" i="3"/>
  <c r="S347" i="3"/>
  <c r="R347" i="3"/>
  <c r="Q347" i="3"/>
  <c r="S339" i="3"/>
  <c r="R339" i="3"/>
  <c r="Q339" i="3"/>
  <c r="S331" i="3"/>
  <c r="R331" i="3"/>
  <c r="Q331" i="3"/>
  <c r="S313" i="3"/>
  <c r="R313" i="3"/>
  <c r="Q313" i="3"/>
  <c r="R286" i="3"/>
  <c r="Q286" i="3"/>
  <c r="S286" i="3"/>
  <c r="R278" i="3"/>
  <c r="Q278" i="3"/>
  <c r="S278" i="3"/>
  <c r="R262" i="3"/>
  <c r="Q262" i="3"/>
  <c r="S262" i="3"/>
  <c r="S227" i="3"/>
  <c r="R227" i="3"/>
  <c r="Q227" i="3"/>
  <c r="S218" i="3"/>
  <c r="R218" i="3"/>
  <c r="Q218" i="3"/>
  <c r="S209" i="3"/>
  <c r="R209" i="3"/>
  <c r="Q209" i="3"/>
  <c r="S201" i="3"/>
  <c r="R201" i="3"/>
  <c r="Q201" i="3"/>
  <c r="S193" i="3"/>
  <c r="R193" i="3"/>
  <c r="Q193" i="3"/>
  <c r="S184" i="3"/>
  <c r="R184" i="3"/>
  <c r="Q184" i="3"/>
  <c r="S153" i="3"/>
  <c r="R153" i="3"/>
  <c r="Q153" i="3"/>
  <c r="S149" i="3"/>
  <c r="R149" i="3"/>
  <c r="Q149" i="3"/>
  <c r="R132" i="3"/>
  <c r="Q132" i="3"/>
  <c r="S132" i="3"/>
  <c r="R97" i="3"/>
  <c r="Q97" i="3"/>
  <c r="S97" i="3"/>
  <c r="S73" i="3"/>
  <c r="R73" i="3"/>
  <c r="Q73" i="3"/>
  <c r="S53" i="3"/>
  <c r="R53" i="3"/>
  <c r="Q53" i="3"/>
  <c r="S43" i="3"/>
  <c r="R43" i="3"/>
  <c r="Q43" i="3"/>
  <c r="S35" i="3"/>
  <c r="R35" i="3"/>
  <c r="Q35" i="3"/>
  <c r="R26" i="3"/>
  <c r="Q26" i="3"/>
  <c r="S26" i="3"/>
  <c r="R18" i="3"/>
  <c r="Q18" i="3"/>
  <c r="S18" i="3"/>
  <c r="S10" i="3"/>
  <c r="R10" i="3"/>
  <c r="Q10" i="3"/>
  <c r="R510" i="3"/>
  <c r="S510" i="3"/>
  <c r="Q510" i="3"/>
  <c r="R502" i="3"/>
  <c r="S502" i="3"/>
  <c r="Q502" i="3"/>
  <c r="S488" i="3"/>
  <c r="Q488" i="3"/>
  <c r="R488" i="3"/>
  <c r="R240" i="3"/>
  <c r="Q240" i="3"/>
  <c r="S240" i="3"/>
  <c r="R232" i="3"/>
  <c r="Q232" i="3"/>
  <c r="S232" i="3"/>
  <c r="R454" i="3"/>
  <c r="S454" i="3"/>
  <c r="Q454" i="3"/>
  <c r="R446" i="3"/>
  <c r="S446" i="3"/>
  <c r="Q446" i="3"/>
  <c r="S436" i="3"/>
  <c r="Q436" i="3"/>
  <c r="R436" i="3"/>
  <c r="S428" i="3"/>
  <c r="Q428" i="3"/>
  <c r="R428" i="3"/>
  <c r="R415" i="3"/>
  <c r="S415" i="3"/>
  <c r="Q415" i="3"/>
  <c r="S367" i="3"/>
  <c r="R367" i="3"/>
  <c r="Q367" i="3"/>
  <c r="S354" i="3"/>
  <c r="R354" i="3"/>
  <c r="Q354" i="3"/>
  <c r="S346" i="3"/>
  <c r="R346" i="3"/>
  <c r="Q346" i="3"/>
  <c r="R338" i="3"/>
  <c r="Q338" i="3"/>
  <c r="S338" i="3"/>
  <c r="S330" i="3"/>
  <c r="R330" i="3"/>
  <c r="Q330" i="3"/>
  <c r="S285" i="3"/>
  <c r="R285" i="3"/>
  <c r="Q285" i="3"/>
  <c r="S277" i="3"/>
  <c r="R277" i="3"/>
  <c r="Q277" i="3"/>
  <c r="S261" i="3"/>
  <c r="R261" i="3"/>
  <c r="Q261" i="3"/>
  <c r="S226" i="3"/>
  <c r="R226" i="3"/>
  <c r="Q226" i="3"/>
  <c r="S217" i="3"/>
  <c r="R217" i="3"/>
  <c r="Q217" i="3"/>
  <c r="S208" i="3"/>
  <c r="R208" i="3"/>
  <c r="Q208" i="3"/>
  <c r="S200" i="3"/>
  <c r="R200" i="3"/>
  <c r="Q200" i="3"/>
  <c r="S192" i="3"/>
  <c r="R192" i="3"/>
  <c r="Q192" i="3"/>
  <c r="S183" i="3"/>
  <c r="R183" i="3"/>
  <c r="Q183" i="3"/>
  <c r="S152" i="3"/>
  <c r="R152" i="3"/>
  <c r="Q152" i="3"/>
  <c r="R148" i="3"/>
  <c r="Q148" i="3"/>
  <c r="S148" i="3"/>
  <c r="S131" i="3"/>
  <c r="R131" i="3"/>
  <c r="Q131" i="3"/>
  <c r="S96" i="3"/>
  <c r="R96" i="3"/>
  <c r="Q96" i="3"/>
  <c r="S72" i="3"/>
  <c r="R72" i="3"/>
  <c r="Q72" i="3"/>
  <c r="S83" i="3"/>
  <c r="R83" i="3"/>
  <c r="Q83" i="3"/>
  <c r="S52" i="3"/>
  <c r="R52" i="3"/>
  <c r="Q52" i="3"/>
  <c r="R42" i="3"/>
  <c r="Q42" i="3"/>
  <c r="S42" i="3"/>
  <c r="S33" i="3"/>
  <c r="R33" i="3"/>
  <c r="Q33" i="3"/>
  <c r="S25" i="3"/>
  <c r="R25" i="3"/>
  <c r="Q25" i="3"/>
  <c r="S17" i="3"/>
  <c r="R17" i="3"/>
  <c r="Q17" i="3"/>
  <c r="S9" i="3"/>
  <c r="R9" i="3"/>
  <c r="Q9" i="3"/>
  <c r="N144" i="8"/>
  <c r="M144" i="8"/>
  <c r="O144" i="8" s="1"/>
  <c r="N131" i="8"/>
  <c r="M131" i="8"/>
  <c r="O131" i="8" s="1"/>
  <c r="M130" i="8"/>
  <c r="O130" i="8" s="1"/>
  <c r="N130" i="8"/>
  <c r="N118" i="8"/>
  <c r="M118" i="8"/>
  <c r="O118" i="8" s="1"/>
  <c r="N105" i="8"/>
  <c r="M105" i="8"/>
  <c r="O105" i="8" s="1"/>
  <c r="N92" i="8"/>
  <c r="M92" i="8"/>
  <c r="O92" i="8" s="1"/>
  <c r="N79" i="8"/>
  <c r="M79" i="8"/>
  <c r="O79" i="8" s="1"/>
  <c r="N66" i="8"/>
  <c r="M66" i="8"/>
  <c r="O66" i="8" s="1"/>
  <c r="N53" i="8"/>
  <c r="M53" i="8"/>
  <c r="O53" i="8" s="1"/>
  <c r="N40" i="8"/>
  <c r="M40" i="8"/>
  <c r="O40" i="8" s="1"/>
  <c r="N27" i="8"/>
  <c r="M27" i="8"/>
  <c r="O27" i="8" s="1"/>
  <c r="N14" i="8"/>
  <c r="M14" i="8"/>
  <c r="O14" i="8" s="1"/>
  <c r="C14" i="8"/>
  <c r="D14" i="8" s="1"/>
  <c r="B14" i="8"/>
  <c r="C27" i="8"/>
  <c r="B27" i="8"/>
  <c r="D27" i="8" s="1"/>
  <c r="C40" i="8"/>
  <c r="B40" i="8"/>
  <c r="D40" i="8" s="1"/>
  <c r="C53" i="8"/>
  <c r="B53" i="8"/>
  <c r="D53" i="8" s="1"/>
  <c r="D66" i="8"/>
  <c r="C66" i="8"/>
  <c r="B66" i="8"/>
  <c r="I79" i="8"/>
  <c r="H79" i="8"/>
  <c r="G79" i="8"/>
  <c r="H66" i="8"/>
  <c r="G66" i="8"/>
  <c r="I66" i="8" s="1"/>
  <c r="H27" i="8"/>
  <c r="I27" i="8" s="1"/>
  <c r="G27" i="8"/>
  <c r="H40" i="8"/>
  <c r="G40" i="8"/>
  <c r="I40" i="8" s="1"/>
  <c r="H53" i="8"/>
  <c r="G53" i="8"/>
  <c r="I53" i="8" s="1"/>
  <c r="C79" i="8"/>
  <c r="B79" i="8"/>
  <c r="C92" i="8"/>
  <c r="B92" i="8"/>
  <c r="C105" i="8"/>
  <c r="B105" i="8"/>
  <c r="C118" i="8"/>
  <c r="B118" i="8"/>
  <c r="C131" i="8"/>
  <c r="B131" i="8"/>
  <c r="C144" i="8"/>
  <c r="B144" i="8"/>
  <c r="D105" i="8" l="1"/>
  <c r="D92" i="8"/>
  <c r="D79" i="8"/>
  <c r="D118" i="8"/>
  <c r="D144" i="8"/>
  <c r="D131" i="8"/>
  <c r="N132" i="8" l="1"/>
  <c r="N119" i="8"/>
  <c r="M119" i="8"/>
  <c r="O119" i="8" s="1"/>
  <c r="N106" i="8"/>
  <c r="M106" i="8"/>
  <c r="N93" i="8"/>
  <c r="M93" i="8"/>
  <c r="N80" i="8"/>
  <c r="M80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5" i="8"/>
  <c r="M65" i="8"/>
  <c r="O65" i="8" s="1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2" i="8"/>
  <c r="M52" i="8"/>
  <c r="N51" i="8"/>
  <c r="M51" i="8"/>
  <c r="N50" i="8"/>
  <c r="M50" i="8"/>
  <c r="N49" i="8"/>
  <c r="M49" i="8"/>
  <c r="N48" i="8"/>
  <c r="M48" i="8"/>
  <c r="O48" i="8" s="1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39" i="8"/>
  <c r="M39" i="8"/>
  <c r="O39" i="8" s="1"/>
  <c r="N38" i="8"/>
  <c r="M38" i="8"/>
  <c r="N37" i="8"/>
  <c r="M37" i="8"/>
  <c r="N36" i="8"/>
  <c r="M36" i="8"/>
  <c r="N35" i="8"/>
  <c r="M35" i="8"/>
  <c r="O35" i="8" s="1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6" i="8"/>
  <c r="M26" i="8"/>
  <c r="N25" i="8"/>
  <c r="M25" i="8"/>
  <c r="N24" i="8"/>
  <c r="M24" i="8"/>
  <c r="N23" i="8"/>
  <c r="M23" i="8"/>
  <c r="N22" i="8"/>
  <c r="M22" i="8"/>
  <c r="O22" i="8" s="1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3" i="8"/>
  <c r="M13" i="8"/>
  <c r="N12" i="8"/>
  <c r="M12" i="8"/>
  <c r="N11" i="8"/>
  <c r="M11" i="8"/>
  <c r="N10" i="8"/>
  <c r="M10" i="8"/>
  <c r="N9" i="8"/>
  <c r="M9" i="8"/>
  <c r="O9" i="8" s="1"/>
  <c r="N8" i="8"/>
  <c r="M8" i="8"/>
  <c r="N7" i="8"/>
  <c r="M7" i="8"/>
  <c r="N6" i="8"/>
  <c r="M6" i="8"/>
  <c r="N5" i="8"/>
  <c r="M5" i="8"/>
  <c r="O5" i="8" s="1"/>
  <c r="N4" i="8"/>
  <c r="M4" i="8"/>
  <c r="N3" i="8"/>
  <c r="M3" i="8"/>
  <c r="N2" i="8"/>
  <c r="M2" i="8"/>
  <c r="I119" i="8"/>
  <c r="I106" i="8"/>
  <c r="I93" i="8"/>
  <c r="I80" i="8"/>
  <c r="I78" i="8"/>
  <c r="I77" i="8"/>
  <c r="I76" i="8"/>
  <c r="I75" i="8"/>
  <c r="I74" i="8"/>
  <c r="I73" i="8"/>
  <c r="I72" i="8"/>
  <c r="I71" i="8"/>
  <c r="I70" i="8"/>
  <c r="I69" i="8"/>
  <c r="I68" i="8"/>
  <c r="I67" i="8"/>
  <c r="I65" i="8"/>
  <c r="I64" i="8"/>
  <c r="I63" i="8"/>
  <c r="I62" i="8"/>
  <c r="I61" i="8"/>
  <c r="I60" i="8"/>
  <c r="I59" i="8"/>
  <c r="I58" i="8"/>
  <c r="I57" i="8"/>
  <c r="I56" i="8"/>
  <c r="I55" i="8"/>
  <c r="I54" i="8"/>
  <c r="I52" i="8"/>
  <c r="I51" i="8"/>
  <c r="I50" i="8"/>
  <c r="I49" i="8"/>
  <c r="I48" i="8"/>
  <c r="I47" i="8"/>
  <c r="I46" i="8"/>
  <c r="I45" i="8"/>
  <c r="I44" i="8"/>
  <c r="I43" i="8"/>
  <c r="I42" i="8"/>
  <c r="I41" i="8"/>
  <c r="I39" i="8"/>
  <c r="I38" i="8"/>
  <c r="I37" i="8"/>
  <c r="I36" i="8"/>
  <c r="I35" i="8"/>
  <c r="I34" i="8"/>
  <c r="I33" i="8"/>
  <c r="I32" i="8"/>
  <c r="I31" i="8"/>
  <c r="I30" i="8"/>
  <c r="I29" i="8"/>
  <c r="I28" i="8"/>
  <c r="I26" i="8"/>
  <c r="I25" i="8"/>
  <c r="I24" i="8"/>
  <c r="I23" i="8"/>
  <c r="I22" i="8"/>
  <c r="I21" i="8"/>
  <c r="I20" i="8"/>
  <c r="I19" i="8"/>
  <c r="I18" i="8"/>
  <c r="I17" i="8"/>
  <c r="I16" i="8"/>
  <c r="I15" i="8"/>
  <c r="I13" i="8"/>
  <c r="I12" i="8"/>
  <c r="I11" i="8"/>
  <c r="I10" i="8"/>
  <c r="I9" i="8"/>
  <c r="I8" i="8"/>
  <c r="I7" i="8"/>
  <c r="I6" i="8"/>
  <c r="I5" i="8"/>
  <c r="I4" i="8"/>
  <c r="I3" i="8"/>
  <c r="I2" i="8"/>
  <c r="O64" i="8" l="1"/>
  <c r="O61" i="8"/>
  <c r="O18" i="8"/>
  <c r="O13" i="8"/>
  <c r="O2" i="8"/>
  <c r="O93" i="8"/>
  <c r="O78" i="8"/>
  <c r="O76" i="8"/>
  <c r="O70" i="8"/>
  <c r="O57" i="8"/>
  <c r="O31" i="8"/>
  <c r="O26" i="8"/>
  <c r="O80" i="8"/>
  <c r="O3" i="8"/>
  <c r="O7" i="8"/>
  <c r="O11" i="8"/>
  <c r="O16" i="8"/>
  <c r="O24" i="8"/>
  <c r="O29" i="8"/>
  <c r="O33" i="8"/>
  <c r="O37" i="8"/>
  <c r="O46" i="8"/>
  <c r="O55" i="8"/>
  <c r="O63" i="8"/>
  <c r="O6" i="8"/>
  <c r="O32" i="8"/>
  <c r="O41" i="8"/>
  <c r="O49" i="8"/>
  <c r="O62" i="8"/>
  <c r="O71" i="8"/>
  <c r="O8" i="8"/>
  <c r="O17" i="8"/>
  <c r="O25" i="8"/>
  <c r="O34" i="8"/>
  <c r="O38" i="8"/>
  <c r="O43" i="8"/>
  <c r="O47" i="8"/>
  <c r="O51" i="8"/>
  <c r="O56" i="8"/>
  <c r="O77" i="8"/>
  <c r="O106" i="8"/>
  <c r="O60" i="8"/>
  <c r="O20" i="8"/>
  <c r="O15" i="8"/>
  <c r="O23" i="8"/>
  <c r="O58" i="8"/>
  <c r="O44" i="8"/>
  <c r="O52" i="8"/>
  <c r="O4" i="8"/>
  <c r="O12" i="8"/>
  <c r="O21" i="8"/>
  <c r="O30" i="8"/>
  <c r="O42" i="8"/>
  <c r="O50" i="8"/>
  <c r="O59" i="8"/>
  <c r="O10" i="8"/>
  <c r="O19" i="8"/>
  <c r="O28" i="8"/>
  <c r="O36" i="8"/>
  <c r="O45" i="8"/>
  <c r="O54" i="8"/>
  <c r="O75" i="8"/>
  <c r="O69" i="8"/>
  <c r="O74" i="8"/>
  <c r="O73" i="8"/>
  <c r="O72" i="8"/>
  <c r="O68" i="8"/>
  <c r="O67" i="8"/>
  <c r="N94" i="8" l="1"/>
  <c r="I94" i="8"/>
  <c r="M94" i="8"/>
  <c r="I81" i="8"/>
  <c r="M81" i="8"/>
  <c r="N81" i="8"/>
  <c r="N82" i="8"/>
  <c r="N95" i="8"/>
  <c r="O81" i="8" l="1"/>
  <c r="I82" i="8"/>
  <c r="M82" i="8"/>
  <c r="O82" i="8" s="1"/>
  <c r="I95" i="8"/>
  <c r="M95" i="8"/>
  <c r="O95" i="8" s="1"/>
  <c r="O94" i="8"/>
  <c r="N83" i="8"/>
  <c r="N96" i="8"/>
  <c r="M96" i="8" l="1"/>
  <c r="O96" i="8" s="1"/>
  <c r="I83" i="8"/>
  <c r="M83" i="8"/>
  <c r="O83" i="8" s="1"/>
  <c r="I96" i="8"/>
  <c r="N97" i="8"/>
  <c r="I84" i="8" l="1"/>
  <c r="M84" i="8"/>
  <c r="I97" i="8"/>
  <c r="M97" i="8"/>
  <c r="O97" i="8" s="1"/>
  <c r="N84" i="8"/>
  <c r="N85" i="8"/>
  <c r="N98" i="8"/>
  <c r="I85" i="8" l="1"/>
  <c r="M85" i="8"/>
  <c r="O85" i="8" s="1"/>
  <c r="I98" i="8"/>
  <c r="M98" i="8"/>
  <c r="O98" i="8" s="1"/>
  <c r="O84" i="8"/>
  <c r="N86" i="8"/>
  <c r="N99" i="8" l="1"/>
  <c r="I86" i="8"/>
  <c r="M86" i="8"/>
  <c r="O86" i="8" s="1"/>
  <c r="I99" i="8"/>
  <c r="M99" i="8"/>
  <c r="N87" i="8"/>
  <c r="N100" i="8"/>
  <c r="M100" i="8"/>
  <c r="O100" i="8" l="1"/>
  <c r="O99" i="8"/>
  <c r="I87" i="8"/>
  <c r="M87" i="8"/>
  <c r="O87" i="8" s="1"/>
  <c r="I100" i="8"/>
  <c r="N88" i="8"/>
  <c r="N101" i="8"/>
  <c r="I88" i="8" l="1"/>
  <c r="M88" i="8"/>
  <c r="O88" i="8" s="1"/>
  <c r="I101" i="8"/>
  <c r="M101" i="8"/>
  <c r="O101" i="8" s="1"/>
  <c r="N89" i="8"/>
  <c r="N102" i="8"/>
  <c r="I102" i="8" l="1"/>
  <c r="M102" i="8"/>
  <c r="O102" i="8" s="1"/>
  <c r="I89" i="8"/>
  <c r="M89" i="8"/>
  <c r="O89" i="8" s="1"/>
  <c r="N90" i="8" l="1"/>
  <c r="N103" i="8"/>
  <c r="I103" i="8"/>
  <c r="M103" i="8"/>
  <c r="I90" i="8"/>
  <c r="M90" i="8"/>
  <c r="G92" i="8"/>
  <c r="O103" i="8" l="1"/>
  <c r="N104" i="8"/>
  <c r="H105" i="8"/>
  <c r="N91" i="8"/>
  <c r="H92" i="8"/>
  <c r="I92" i="8" s="1"/>
  <c r="O90" i="8"/>
  <c r="I91" i="8"/>
  <c r="M91" i="8"/>
  <c r="O91" i="8" l="1"/>
  <c r="M107" i="8"/>
  <c r="N107" i="8"/>
  <c r="I107" i="8"/>
  <c r="N108" i="8"/>
  <c r="O107" i="8" l="1"/>
  <c r="N109" i="8"/>
  <c r="M108" i="8" l="1"/>
  <c r="O108" i="8" s="1"/>
  <c r="N110" i="8"/>
  <c r="I108" i="8"/>
  <c r="N111" i="8" l="1"/>
  <c r="M120" i="8"/>
  <c r="N120" i="8"/>
  <c r="I109" i="8"/>
  <c r="M109" i="8"/>
  <c r="O109" i="8" s="1"/>
  <c r="I120" i="8"/>
  <c r="M121" i="8"/>
  <c r="N121" i="8"/>
  <c r="M110" i="8"/>
  <c r="O110" i="8" s="1"/>
  <c r="N112" i="8" l="1"/>
  <c r="O120" i="8"/>
  <c r="O121" i="8"/>
  <c r="I121" i="8"/>
  <c r="M123" i="8"/>
  <c r="I110" i="8"/>
  <c r="M111" i="8"/>
  <c r="O111" i="8" s="1"/>
  <c r="N122" i="8"/>
  <c r="N114" i="8" l="1"/>
  <c r="I112" i="8"/>
  <c r="M122" i="8"/>
  <c r="O122" i="8" s="1"/>
  <c r="M124" i="8"/>
  <c r="I111" i="8"/>
  <c r="I122" i="8"/>
  <c r="N113" i="8" l="1"/>
  <c r="M112" i="8"/>
  <c r="O112" i="8" s="1"/>
  <c r="M113" i="8"/>
  <c r="N124" i="8"/>
  <c r="O124" i="8" s="1"/>
  <c r="N123" i="8"/>
  <c r="O123" i="8" s="1"/>
  <c r="I123" i="8"/>
  <c r="M125" i="8"/>
  <c r="O113" i="8" l="1"/>
  <c r="I113" i="8"/>
  <c r="N125" i="8"/>
  <c r="O125" i="8" s="1"/>
  <c r="M126" i="8"/>
  <c r="I124" i="8"/>
  <c r="N115" i="8"/>
  <c r="I125" i="8"/>
  <c r="M127" i="8" l="1"/>
  <c r="I114" i="8"/>
  <c r="M114" i="8"/>
  <c r="O114" i="8" s="1"/>
  <c r="N126" i="8"/>
  <c r="O126" i="8" s="1"/>
  <c r="N116" i="8"/>
  <c r="I126" i="8"/>
  <c r="M129" i="8" l="1"/>
  <c r="I127" i="8"/>
  <c r="G118" i="8"/>
  <c r="M117" i="8"/>
  <c r="M116" i="8"/>
  <c r="O116" i="8" s="1"/>
  <c r="I116" i="8"/>
  <c r="M115" i="8"/>
  <c r="O115" i="8" s="1"/>
  <c r="I115" i="8"/>
  <c r="N117" i="8"/>
  <c r="H118" i="8"/>
  <c r="N133" i="8"/>
  <c r="I117" i="8"/>
  <c r="N127" i="8"/>
  <c r="O127" i="8" s="1"/>
  <c r="N128" i="8"/>
  <c r="G131" i="8" l="1"/>
  <c r="M128" i="8"/>
  <c r="O128" i="8" s="1"/>
  <c r="I118" i="8"/>
  <c r="O117" i="8"/>
  <c r="I129" i="8"/>
  <c r="I128" i="8"/>
  <c r="N129" i="8" l="1"/>
  <c r="O129" i="8" s="1"/>
  <c r="M132" i="8"/>
  <c r="O132" i="8" s="1"/>
  <c r="I132" i="8"/>
  <c r="I130" i="8" l="1"/>
  <c r="H131" i="8"/>
  <c r="I131" i="8" s="1"/>
  <c r="I133" i="8"/>
  <c r="M133" i="8"/>
  <c r="O133" i="8" s="1"/>
  <c r="M134" i="8"/>
  <c r="M135" i="8" l="1"/>
  <c r="M136" i="8" l="1"/>
  <c r="K143" i="8"/>
  <c r="K142" i="8"/>
  <c r="K141" i="8"/>
  <c r="K140" i="8"/>
  <c r="K139" i="8"/>
  <c r="K138" i="8"/>
  <c r="K137" i="8"/>
  <c r="K136" i="8"/>
  <c r="K135" i="8"/>
  <c r="K134" i="8"/>
  <c r="K133" i="8"/>
  <c r="K132" i="8"/>
  <c r="K130" i="8"/>
  <c r="K129" i="8"/>
  <c r="K128" i="8"/>
  <c r="K127" i="8"/>
  <c r="K126" i="8"/>
  <c r="K125" i="8"/>
  <c r="K124" i="8"/>
  <c r="K123" i="8"/>
  <c r="K122" i="8"/>
  <c r="K121" i="8"/>
  <c r="K120" i="8"/>
  <c r="K119" i="8"/>
  <c r="K117" i="8"/>
  <c r="K116" i="8"/>
  <c r="K115" i="8"/>
  <c r="K114" i="8"/>
  <c r="K113" i="8"/>
  <c r="K112" i="8"/>
  <c r="K111" i="8"/>
  <c r="K110" i="8"/>
  <c r="K109" i="8"/>
  <c r="K108" i="8"/>
  <c r="K107" i="8"/>
  <c r="K106" i="8"/>
  <c r="K104" i="8"/>
  <c r="K103" i="8"/>
  <c r="K102" i="8"/>
  <c r="K101" i="8"/>
  <c r="K100" i="8"/>
  <c r="K99" i="8"/>
  <c r="K98" i="8"/>
  <c r="K97" i="8"/>
  <c r="K96" i="8"/>
  <c r="K95" i="8"/>
  <c r="K94" i="8"/>
  <c r="K93" i="8"/>
  <c r="K91" i="8"/>
  <c r="K90" i="8"/>
  <c r="K89" i="8"/>
  <c r="K88" i="8"/>
  <c r="K87" i="8"/>
  <c r="K86" i="8"/>
  <c r="K85" i="8"/>
  <c r="K84" i="8"/>
  <c r="K83" i="8"/>
  <c r="K82" i="8"/>
  <c r="K81" i="8"/>
  <c r="K80" i="8"/>
  <c r="K78" i="8"/>
  <c r="K77" i="8"/>
  <c r="K76" i="8"/>
  <c r="K75" i="8"/>
  <c r="K74" i="8"/>
  <c r="K73" i="8"/>
  <c r="K72" i="8"/>
  <c r="K71" i="8"/>
  <c r="K70" i="8"/>
  <c r="K69" i="8"/>
  <c r="K68" i="8"/>
  <c r="K67" i="8"/>
  <c r="K65" i="8"/>
  <c r="K64" i="8"/>
  <c r="K63" i="8"/>
  <c r="K62" i="8"/>
  <c r="K61" i="8"/>
  <c r="K60" i="8"/>
  <c r="K59" i="8"/>
  <c r="K58" i="8"/>
  <c r="K57" i="8"/>
  <c r="K56" i="8"/>
  <c r="K55" i="8"/>
  <c r="K54" i="8"/>
  <c r="K52" i="8"/>
  <c r="K51" i="8"/>
  <c r="K50" i="8"/>
  <c r="K49" i="8"/>
  <c r="K48" i="8"/>
  <c r="K47" i="8"/>
  <c r="K46" i="8"/>
  <c r="K45" i="8"/>
  <c r="K44" i="8"/>
  <c r="K43" i="8"/>
  <c r="K42" i="8"/>
  <c r="K41" i="8"/>
  <c r="K39" i="8"/>
  <c r="K38" i="8"/>
  <c r="K37" i="8"/>
  <c r="K36" i="8"/>
  <c r="K35" i="8"/>
  <c r="K34" i="8"/>
  <c r="K33" i="8"/>
  <c r="K32" i="8"/>
  <c r="K31" i="8"/>
  <c r="K30" i="8"/>
  <c r="K29" i="8"/>
  <c r="K28" i="8"/>
  <c r="K26" i="8"/>
  <c r="K25" i="8"/>
  <c r="K24" i="8"/>
  <c r="K23" i="8"/>
  <c r="K22" i="8"/>
  <c r="K21" i="8"/>
  <c r="K20" i="8"/>
  <c r="K19" i="8"/>
  <c r="K18" i="8"/>
  <c r="K17" i="8"/>
  <c r="K16" i="8"/>
  <c r="K15" i="8"/>
  <c r="K13" i="8"/>
  <c r="K12" i="8"/>
  <c r="K11" i="8"/>
  <c r="K10" i="8"/>
  <c r="K9" i="8"/>
  <c r="K8" i="8"/>
  <c r="K7" i="8"/>
  <c r="K6" i="8"/>
  <c r="K5" i="8"/>
  <c r="K4" i="8"/>
  <c r="K3" i="8"/>
  <c r="K2" i="8"/>
  <c r="F142" i="8"/>
  <c r="F141" i="8"/>
  <c r="F140" i="8"/>
  <c r="F139" i="8"/>
  <c r="F138" i="8"/>
  <c r="F137" i="8"/>
  <c r="F136" i="8"/>
  <c r="F135" i="8"/>
  <c r="F134" i="8"/>
  <c r="F133" i="8"/>
  <c r="F132" i="8"/>
  <c r="F130" i="8"/>
  <c r="F129" i="8"/>
  <c r="F128" i="8"/>
  <c r="F127" i="8"/>
  <c r="F126" i="8"/>
  <c r="P126" i="8" s="1"/>
  <c r="F125" i="8"/>
  <c r="P125" i="8" s="1"/>
  <c r="F124" i="8"/>
  <c r="F123" i="8"/>
  <c r="F122" i="8"/>
  <c r="F121" i="8"/>
  <c r="F120" i="8"/>
  <c r="F119" i="8"/>
  <c r="F117" i="8"/>
  <c r="P117" i="8" s="1"/>
  <c r="F116" i="8"/>
  <c r="P116" i="8" s="1"/>
  <c r="F115" i="8"/>
  <c r="F114" i="8"/>
  <c r="F113" i="8"/>
  <c r="F112" i="8"/>
  <c r="F111" i="8"/>
  <c r="F110" i="8"/>
  <c r="F109" i="8"/>
  <c r="P109" i="8" s="1"/>
  <c r="F108" i="8"/>
  <c r="P108" i="8" s="1"/>
  <c r="T257" i="3" s="1"/>
  <c r="F107" i="8"/>
  <c r="F106" i="8"/>
  <c r="F104" i="8"/>
  <c r="F103" i="8"/>
  <c r="F102" i="8"/>
  <c r="F101" i="8"/>
  <c r="F100" i="8"/>
  <c r="P100" i="8" s="1"/>
  <c r="F99" i="8"/>
  <c r="P99" i="8" s="1"/>
  <c r="F98" i="8"/>
  <c r="F97" i="8"/>
  <c r="F96" i="8"/>
  <c r="F95" i="8"/>
  <c r="F94" i="8"/>
  <c r="F93" i="8"/>
  <c r="F91" i="8"/>
  <c r="P91" i="8" s="1"/>
  <c r="T95" i="3" s="1"/>
  <c r="F90" i="8"/>
  <c r="P90" i="8" s="1"/>
  <c r="T261" i="3" s="1"/>
  <c r="F89" i="8"/>
  <c r="F88" i="8"/>
  <c r="F87" i="8"/>
  <c r="F86" i="8"/>
  <c r="F85" i="8"/>
  <c r="F84" i="8"/>
  <c r="F83" i="8"/>
  <c r="P83" i="8" s="1"/>
  <c r="F82" i="8"/>
  <c r="P82" i="8" s="1"/>
  <c r="F81" i="8"/>
  <c r="F80" i="8"/>
  <c r="F78" i="8"/>
  <c r="F77" i="8"/>
  <c r="F76" i="8"/>
  <c r="F75" i="8"/>
  <c r="F74" i="8"/>
  <c r="P74" i="8" s="1"/>
  <c r="F73" i="8"/>
  <c r="P73" i="8" s="1"/>
  <c r="F72" i="8"/>
  <c r="F71" i="8"/>
  <c r="F70" i="8"/>
  <c r="F69" i="8"/>
  <c r="F68" i="8"/>
  <c r="F67" i="8"/>
  <c r="F65" i="8"/>
  <c r="P65" i="8" s="1"/>
  <c r="T92" i="3" s="1"/>
  <c r="F64" i="8"/>
  <c r="P64" i="8" s="1"/>
  <c r="T503" i="3" s="1"/>
  <c r="F63" i="8"/>
  <c r="F62" i="8"/>
  <c r="F61" i="8"/>
  <c r="F60" i="8"/>
  <c r="F59" i="8"/>
  <c r="F58" i="8"/>
  <c r="F57" i="8"/>
  <c r="P57" i="8" s="1"/>
  <c r="F56" i="8"/>
  <c r="P56" i="8" s="1"/>
  <c r="F55" i="8"/>
  <c r="F54" i="8"/>
  <c r="F52" i="8"/>
  <c r="F51" i="8"/>
  <c r="F50" i="8"/>
  <c r="F49" i="8"/>
  <c r="F48" i="8"/>
  <c r="P48" i="8" s="1"/>
  <c r="F47" i="8"/>
  <c r="P47" i="8" s="1"/>
  <c r="F46" i="8"/>
  <c r="F45" i="8"/>
  <c r="F44" i="8"/>
  <c r="F43" i="8"/>
  <c r="F42" i="8"/>
  <c r="F41" i="8"/>
  <c r="F39" i="8"/>
  <c r="P39" i="8" s="1"/>
  <c r="F38" i="8"/>
  <c r="P38" i="8" s="1"/>
  <c r="F37" i="8"/>
  <c r="F36" i="8"/>
  <c r="F35" i="8"/>
  <c r="F34" i="8"/>
  <c r="F33" i="8"/>
  <c r="F32" i="8"/>
  <c r="F31" i="8"/>
  <c r="P31" i="8" s="1"/>
  <c r="F30" i="8"/>
  <c r="P30" i="8" s="1"/>
  <c r="F29" i="8"/>
  <c r="F28" i="8"/>
  <c r="F26" i="8"/>
  <c r="F25" i="8"/>
  <c r="F24" i="8"/>
  <c r="F23" i="8"/>
  <c r="F22" i="8"/>
  <c r="P22" i="8" s="1"/>
  <c r="F21" i="8"/>
  <c r="P21" i="8" s="1"/>
  <c r="F20" i="8"/>
  <c r="F19" i="8"/>
  <c r="F18" i="8"/>
  <c r="F17" i="8"/>
  <c r="F16" i="8"/>
  <c r="F15" i="8"/>
  <c r="P13" i="8"/>
  <c r="P12" i="8"/>
  <c r="P5" i="8"/>
  <c r="P4" i="8"/>
  <c r="F143" i="8"/>
  <c r="D143" i="8"/>
  <c r="D142" i="8"/>
  <c r="D141" i="8"/>
  <c r="D140" i="8"/>
  <c r="D139" i="8"/>
  <c r="D138" i="8"/>
  <c r="D137" i="8"/>
  <c r="D136" i="8"/>
  <c r="D135" i="8"/>
  <c r="D134" i="8"/>
  <c r="D133" i="8"/>
  <c r="D132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4" i="8"/>
  <c r="D103" i="8"/>
  <c r="D102" i="8"/>
  <c r="D101" i="8"/>
  <c r="D100" i="8"/>
  <c r="D99" i="8"/>
  <c r="D98" i="8"/>
  <c r="D97" i="8"/>
  <c r="D96" i="8"/>
  <c r="D95" i="8"/>
  <c r="D94" i="8"/>
  <c r="D93" i="8"/>
  <c r="D91" i="8"/>
  <c r="D90" i="8"/>
  <c r="D89" i="8"/>
  <c r="D88" i="8"/>
  <c r="D87" i="8"/>
  <c r="D86" i="8"/>
  <c r="D85" i="8"/>
  <c r="D84" i="8"/>
  <c r="D83" i="8"/>
  <c r="D82" i="8"/>
  <c r="D81" i="8"/>
  <c r="D80" i="8"/>
  <c r="D78" i="8"/>
  <c r="D77" i="8"/>
  <c r="D76" i="8"/>
  <c r="D75" i="8"/>
  <c r="D74" i="8"/>
  <c r="D73" i="8"/>
  <c r="D72" i="8"/>
  <c r="D71" i="8"/>
  <c r="D70" i="8"/>
  <c r="D69" i="8"/>
  <c r="D68" i="8"/>
  <c r="D65" i="8"/>
  <c r="D64" i="8"/>
  <c r="D63" i="8"/>
  <c r="D62" i="8"/>
  <c r="D61" i="8"/>
  <c r="D60" i="8"/>
  <c r="D59" i="8"/>
  <c r="D58" i="8"/>
  <c r="D57" i="8"/>
  <c r="D56" i="8"/>
  <c r="D55" i="8"/>
  <c r="D54" i="8"/>
  <c r="D52" i="8"/>
  <c r="D51" i="8"/>
  <c r="D50" i="8"/>
  <c r="D49" i="8"/>
  <c r="D48" i="8"/>
  <c r="D47" i="8"/>
  <c r="D46" i="8"/>
  <c r="D45" i="8"/>
  <c r="D44" i="8"/>
  <c r="D43" i="8"/>
  <c r="D42" i="8"/>
  <c r="D41" i="8"/>
  <c r="D39" i="8"/>
  <c r="D38" i="8"/>
  <c r="D37" i="8"/>
  <c r="D36" i="8"/>
  <c r="D35" i="8"/>
  <c r="D34" i="8"/>
  <c r="D33" i="8"/>
  <c r="D32" i="8"/>
  <c r="D31" i="8"/>
  <c r="D30" i="8"/>
  <c r="D29" i="8"/>
  <c r="D28" i="8"/>
  <c r="D26" i="8"/>
  <c r="D25" i="8"/>
  <c r="D24" i="8"/>
  <c r="D23" i="8"/>
  <c r="D22" i="8"/>
  <c r="D21" i="8"/>
  <c r="D20" i="8"/>
  <c r="D19" i="8"/>
  <c r="D18" i="8"/>
  <c r="D17" i="8"/>
  <c r="D16" i="8"/>
  <c r="D15" i="8"/>
  <c r="D13" i="8"/>
  <c r="D12" i="8"/>
  <c r="D11" i="8"/>
  <c r="D10" i="8"/>
  <c r="D9" i="8"/>
  <c r="D8" i="8"/>
  <c r="D7" i="8"/>
  <c r="D6" i="8"/>
  <c r="D5" i="8"/>
  <c r="D4" i="8"/>
  <c r="D3" i="8"/>
  <c r="D2" i="8"/>
  <c r="D67" i="8"/>
  <c r="T275" i="3" l="1"/>
  <c r="T184" i="3"/>
  <c r="T245" i="3"/>
  <c r="T416" i="3"/>
  <c r="T39" i="3"/>
  <c r="T82" i="3"/>
  <c r="T72" i="3"/>
  <c r="T71" i="3"/>
  <c r="T278" i="3"/>
  <c r="T113" i="3"/>
  <c r="T73" i="3"/>
  <c r="T282" i="3"/>
  <c r="T8" i="3"/>
  <c r="T13" i="3"/>
  <c r="T33" i="3"/>
  <c r="T124" i="3"/>
  <c r="T27" i="3"/>
  <c r="T260" i="3"/>
  <c r="T430" i="3"/>
  <c r="T432" i="3"/>
  <c r="T429" i="3"/>
  <c r="T434" i="3"/>
  <c r="T451" i="3"/>
  <c r="T354" i="3"/>
  <c r="T350" i="3"/>
  <c r="T484" i="3"/>
  <c r="T53" i="3"/>
  <c r="T345" i="3"/>
  <c r="T38" i="3"/>
  <c r="T182" i="3"/>
  <c r="T100" i="3"/>
  <c r="T512" i="3"/>
  <c r="T427" i="3"/>
  <c r="T43" i="3"/>
  <c r="T90" i="3"/>
  <c r="T365" i="3"/>
  <c r="T224" i="3"/>
  <c r="T258" i="3"/>
  <c r="T425" i="3"/>
  <c r="T449" i="3"/>
  <c r="T447" i="3"/>
  <c r="T180" i="3"/>
  <c r="T186" i="3"/>
  <c r="T367" i="3"/>
  <c r="T438" i="3"/>
  <c r="T437" i="3"/>
  <c r="T264" i="3"/>
  <c r="P6" i="8"/>
  <c r="T287" i="3" s="1"/>
  <c r="P15" i="8"/>
  <c r="P23" i="8"/>
  <c r="T49" i="3" s="1"/>
  <c r="P32" i="8"/>
  <c r="P41" i="8"/>
  <c r="P49" i="8"/>
  <c r="P58" i="8"/>
  <c r="P67" i="8"/>
  <c r="P75" i="8"/>
  <c r="P84" i="8"/>
  <c r="P93" i="8"/>
  <c r="P101" i="8"/>
  <c r="P110" i="8"/>
  <c r="P119" i="8"/>
  <c r="P127" i="8"/>
  <c r="P7" i="8"/>
  <c r="P16" i="8"/>
  <c r="P24" i="8"/>
  <c r="P33" i="8"/>
  <c r="P42" i="8"/>
  <c r="P50" i="8"/>
  <c r="P59" i="8"/>
  <c r="P68" i="8"/>
  <c r="P76" i="8"/>
  <c r="P85" i="8"/>
  <c r="P94" i="8"/>
  <c r="P102" i="8"/>
  <c r="P111" i="8"/>
  <c r="P120" i="8"/>
  <c r="T9" i="3" s="1"/>
  <c r="P128" i="8"/>
  <c r="M137" i="8"/>
  <c r="P2" i="8"/>
  <c r="P10" i="8"/>
  <c r="T17" i="3" s="1"/>
  <c r="P19" i="8"/>
  <c r="T232" i="3" s="1"/>
  <c r="P28" i="8"/>
  <c r="T487" i="3" s="1"/>
  <c r="P36" i="8"/>
  <c r="P45" i="8"/>
  <c r="P54" i="8"/>
  <c r="P62" i="8"/>
  <c r="P71" i="8"/>
  <c r="P80" i="8"/>
  <c r="T504" i="3" s="1"/>
  <c r="P88" i="8"/>
  <c r="P97" i="8"/>
  <c r="P106" i="8"/>
  <c r="P114" i="8"/>
  <c r="P123" i="8"/>
  <c r="P132" i="8"/>
  <c r="T265" i="3" s="1"/>
  <c r="P8" i="8"/>
  <c r="P17" i="8"/>
  <c r="P25" i="8"/>
  <c r="P34" i="8"/>
  <c r="P43" i="8"/>
  <c r="T515" i="3" s="1"/>
  <c r="P51" i="8"/>
  <c r="P60" i="8"/>
  <c r="P69" i="8"/>
  <c r="P77" i="8"/>
  <c r="P86" i="8"/>
  <c r="P95" i="8"/>
  <c r="P103" i="8"/>
  <c r="P112" i="8"/>
  <c r="P121" i="8"/>
  <c r="P129" i="8"/>
  <c r="P9" i="8"/>
  <c r="T366" i="3" s="1"/>
  <c r="P18" i="8"/>
  <c r="P26" i="8"/>
  <c r="P35" i="8"/>
  <c r="T181" i="3" s="1"/>
  <c r="P44" i="8"/>
  <c r="P52" i="8"/>
  <c r="P61" i="8"/>
  <c r="P70" i="8"/>
  <c r="P78" i="8"/>
  <c r="P87" i="8"/>
  <c r="P96" i="8"/>
  <c r="T28" i="3" s="1"/>
  <c r="P104" i="8"/>
  <c r="P113" i="8"/>
  <c r="P122" i="8"/>
  <c r="P130" i="8"/>
  <c r="P3" i="8"/>
  <c r="T509" i="3" s="1"/>
  <c r="P11" i="8"/>
  <c r="T426" i="3" s="1"/>
  <c r="P20" i="8"/>
  <c r="P29" i="8"/>
  <c r="P37" i="8"/>
  <c r="P46" i="8"/>
  <c r="P55" i="8"/>
  <c r="P63" i="8"/>
  <c r="P72" i="8"/>
  <c r="T266" i="3" s="1"/>
  <c r="P81" i="8"/>
  <c r="P89" i="8"/>
  <c r="P98" i="8"/>
  <c r="P107" i="8"/>
  <c r="P115" i="8"/>
  <c r="P124" i="8"/>
  <c r="P133" i="8"/>
  <c r="T507" i="3" s="1"/>
  <c r="P475" i="3"/>
  <c r="M475" i="3"/>
  <c r="B475" i="3"/>
  <c r="A475" i="3" s="1"/>
  <c r="D131" i="6"/>
  <c r="D130" i="6"/>
  <c r="D129" i="6"/>
  <c r="D128" i="6"/>
  <c r="D127" i="6"/>
  <c r="D126" i="6"/>
  <c r="D124" i="6"/>
  <c r="D125" i="6" s="1"/>
  <c r="D123" i="6"/>
  <c r="C121" i="6"/>
  <c r="D121" i="6"/>
  <c r="T10" i="3" l="1"/>
  <c r="T187" i="3"/>
  <c r="T30" i="3"/>
  <c r="T331" i="3"/>
  <c r="T338" i="3"/>
  <c r="T15" i="3"/>
  <c r="T4" i="3"/>
  <c r="T458" i="3"/>
  <c r="T455" i="3"/>
  <c r="T194" i="3"/>
  <c r="T215" i="3"/>
  <c r="T198" i="3"/>
  <c r="T196" i="3"/>
  <c r="T220" i="3"/>
  <c r="T417" i="3"/>
  <c r="T199" i="3"/>
  <c r="T217" i="3"/>
  <c r="T200" i="3"/>
  <c r="T31" i="3"/>
  <c r="T221" i="3"/>
  <c r="T216" i="3"/>
  <c r="T195" i="3"/>
  <c r="T219" i="3"/>
  <c r="T218" i="3"/>
  <c r="T201" i="3"/>
  <c r="T214" i="3"/>
  <c r="T197" i="3"/>
  <c r="T213" i="3"/>
  <c r="T192" i="3"/>
  <c r="T83" i="3"/>
  <c r="T185" i="3"/>
  <c r="T454" i="3"/>
  <c r="T489" i="3"/>
  <c r="T479" i="3"/>
  <c r="T223" i="3"/>
  <c r="T488" i="3"/>
  <c r="T244" i="3"/>
  <c r="T414" i="3"/>
  <c r="T478" i="3"/>
  <c r="T29" i="3"/>
  <c r="T97" i="3"/>
  <c r="T98" i="3"/>
  <c r="T337" i="3"/>
  <c r="T330" i="3"/>
  <c r="T81" i="3"/>
  <c r="T342" i="3"/>
  <c r="T279" i="3"/>
  <c r="T457" i="3"/>
  <c r="T285" i="3"/>
  <c r="T453" i="3"/>
  <c r="T229" i="3"/>
  <c r="T132" i="3"/>
  <c r="T227" i="3"/>
  <c r="T452" i="3"/>
  <c r="T359" i="3"/>
  <c r="T358" i="3"/>
  <c r="T356" i="3"/>
  <c r="T357" i="3"/>
  <c r="T277" i="3"/>
  <c r="T436" i="3"/>
  <c r="T96" i="3"/>
  <c r="T341" i="3"/>
  <c r="T329" i="3"/>
  <c r="T336" i="3"/>
  <c r="T243" i="3"/>
  <c r="T226" i="3"/>
  <c r="T485" i="3"/>
  <c r="T370" i="3"/>
  <c r="T347" i="3"/>
  <c r="T340" i="3"/>
  <c r="T477" i="3"/>
  <c r="T335" i="3"/>
  <c r="T355" i="3"/>
  <c r="T435" i="3"/>
  <c r="T352" i="3"/>
  <c r="T348" i="3"/>
  <c r="T55" i="3"/>
  <c r="T242" i="3"/>
  <c r="T351" i="3"/>
  <c r="T346" i="3"/>
  <c r="T334" i="3"/>
  <c r="T280" i="3"/>
  <c r="T276" i="3"/>
  <c r="T433" i="3"/>
  <c r="T36" i="3"/>
  <c r="T431" i="3"/>
  <c r="T259" i="3"/>
  <c r="T16" i="3"/>
  <c r="T54" i="3"/>
  <c r="T152" i="3"/>
  <c r="T154" i="3"/>
  <c r="T153" i="3"/>
  <c r="T103" i="3"/>
  <c r="T102" i="3"/>
  <c r="T497" i="3"/>
  <c r="T495" i="3"/>
  <c r="T286" i="3"/>
  <c r="T494" i="3"/>
  <c r="T498" i="3"/>
  <c r="T496" i="3"/>
  <c r="T101" i="3"/>
  <c r="T239" i="3"/>
  <c r="T428" i="3"/>
  <c r="T236" i="3"/>
  <c r="T349" i="3"/>
  <c r="T344" i="3"/>
  <c r="T353" i="3"/>
  <c r="T51" i="3"/>
  <c r="T238" i="3"/>
  <c r="T25" i="3"/>
  <c r="T235" i="3"/>
  <c r="T241" i="3"/>
  <c r="T21" i="3"/>
  <c r="T228" i="3"/>
  <c r="T183" i="3"/>
  <c r="T225" i="3"/>
  <c r="T52" i="3"/>
  <c r="T506" i="3"/>
  <c r="T505" i="3"/>
  <c r="T502" i="3"/>
  <c r="T35" i="3"/>
  <c r="T50" i="3"/>
  <c r="T289" i="3"/>
  <c r="T288" i="3"/>
  <c r="T91" i="3"/>
  <c r="T94" i="3"/>
  <c r="T93" i="3"/>
  <c r="T20" i="3"/>
  <c r="T240" i="3"/>
  <c r="T233" i="3"/>
  <c r="T24" i="3"/>
  <c r="T26" i="3"/>
  <c r="T237" i="3"/>
  <c r="T7" i="3"/>
  <c r="T419" i="3"/>
  <c r="T234" i="3"/>
  <c r="T418" i="3"/>
  <c r="T415" i="3"/>
  <c r="T6" i="3"/>
  <c r="T131" i="3"/>
  <c r="T446" i="3"/>
  <c r="T18" i="3"/>
  <c r="T510" i="3"/>
  <c r="T22" i="3"/>
  <c r="T369" i="3"/>
  <c r="T368" i="3"/>
  <c r="T483" i="3"/>
  <c r="T99" i="3"/>
  <c r="T106" i="3"/>
  <c r="T511" i="3"/>
  <c r="T149" i="3"/>
  <c r="T19" i="3"/>
  <c r="T42" i="3"/>
  <c r="T23" i="3"/>
  <c r="T40" i="3"/>
  <c r="T37" i="3"/>
  <c r="T14" i="3"/>
  <c r="T41" i="3"/>
  <c r="T191" i="3"/>
  <c r="T193" i="3"/>
  <c r="T450" i="3"/>
  <c r="T448" i="3"/>
  <c r="T295" i="3"/>
  <c r="T296" i="3"/>
  <c r="T48" i="3"/>
  <c r="T475" i="3"/>
  <c r="R475" i="3"/>
  <c r="Q475" i="3"/>
  <c r="S475" i="3"/>
  <c r="M138" i="8"/>
  <c r="B5" i="3" l="1"/>
  <c r="A5" i="3" s="1"/>
  <c r="B58" i="3"/>
  <c r="B249" i="3"/>
  <c r="B34" i="3"/>
  <c r="B46" i="3"/>
  <c r="B47" i="3"/>
  <c r="B59" i="3"/>
  <c r="B60" i="3"/>
  <c r="A60" i="3" s="1"/>
  <c r="B61" i="3"/>
  <c r="A61" i="3" s="1"/>
  <c r="B62" i="3"/>
  <c r="A62" i="3" s="1"/>
  <c r="B63" i="3"/>
  <c r="A63" i="3" s="1"/>
  <c r="B64" i="3"/>
  <c r="A64" i="3" s="1"/>
  <c r="B65" i="3"/>
  <c r="A65" i="3" s="1"/>
  <c r="B66" i="3"/>
  <c r="A66" i="3" s="1"/>
  <c r="B67" i="3"/>
  <c r="A67" i="3" s="1"/>
  <c r="B68" i="3"/>
  <c r="A68" i="3" s="1"/>
  <c r="B69" i="3"/>
  <c r="A69" i="3" s="1"/>
  <c r="B70" i="3"/>
  <c r="A70" i="3" s="1"/>
  <c r="B74" i="3"/>
  <c r="B75" i="3"/>
  <c r="B76" i="3"/>
  <c r="B77" i="3"/>
  <c r="B78" i="3"/>
  <c r="B79" i="3"/>
  <c r="B80" i="3"/>
  <c r="A80" i="3" s="1"/>
  <c r="B107" i="3"/>
  <c r="B108" i="3"/>
  <c r="B118" i="3"/>
  <c r="A118" i="3" s="1"/>
  <c r="B121" i="3"/>
  <c r="A121" i="3" s="1"/>
  <c r="B122" i="3"/>
  <c r="B126" i="3"/>
  <c r="B127" i="3"/>
  <c r="B128" i="3"/>
  <c r="B129" i="3"/>
  <c r="A129" i="3" s="1"/>
  <c r="B137" i="3"/>
  <c r="B138" i="3"/>
  <c r="B139" i="3"/>
  <c r="A139" i="3" s="1"/>
  <c r="B142" i="3"/>
  <c r="A142" i="3" s="1"/>
  <c r="B143" i="3"/>
  <c r="A143" i="3" s="1"/>
  <c r="B144" i="3"/>
  <c r="A144" i="3" s="1"/>
  <c r="B145" i="3"/>
  <c r="B146" i="3"/>
  <c r="B147" i="3"/>
  <c r="B150" i="3"/>
  <c r="B115" i="3"/>
  <c r="B116" i="3"/>
  <c r="B117" i="3"/>
  <c r="A117" i="3" s="1"/>
  <c r="B151" i="3"/>
  <c r="A151" i="3" s="1"/>
  <c r="B158" i="3"/>
  <c r="A158" i="3" s="1"/>
  <c r="B159" i="3"/>
  <c r="A159" i="3" s="1"/>
  <c r="B172" i="3"/>
  <c r="B173" i="3"/>
  <c r="B174" i="3"/>
  <c r="B175" i="3"/>
  <c r="B160" i="3"/>
  <c r="A160" i="3" s="1"/>
  <c r="B161" i="3"/>
  <c r="B162" i="3"/>
  <c r="B163" i="3"/>
  <c r="B164" i="3"/>
  <c r="A164" i="3" s="1"/>
  <c r="B165" i="3"/>
  <c r="A165" i="3" s="1"/>
  <c r="B171" i="3"/>
  <c r="B178" i="3"/>
  <c r="B179" i="3"/>
  <c r="B190" i="3"/>
  <c r="B212" i="3"/>
  <c r="B222" i="3"/>
  <c r="A222" i="3" s="1"/>
  <c r="B250" i="3"/>
  <c r="B251" i="3"/>
  <c r="B252" i="3"/>
  <c r="B253" i="3"/>
  <c r="B254" i="3"/>
  <c r="B255" i="3"/>
  <c r="B256" i="3"/>
  <c r="B290" i="3"/>
  <c r="A290" i="3" s="1"/>
  <c r="B291" i="3"/>
  <c r="A291" i="3" s="1"/>
  <c r="B292" i="3"/>
  <c r="A292" i="3" s="1"/>
  <c r="B293" i="3"/>
  <c r="B294" i="3"/>
  <c r="B297" i="3"/>
  <c r="A297" i="3" s="1"/>
  <c r="B298" i="3"/>
  <c r="B299" i="3"/>
  <c r="B300" i="3"/>
  <c r="B301" i="3"/>
  <c r="B362" i="3"/>
  <c r="A362" i="3" s="1"/>
  <c r="B363" i="3"/>
  <c r="A363" i="3" s="1"/>
  <c r="B302" i="3"/>
  <c r="B303" i="3"/>
  <c r="B304" i="3"/>
  <c r="B305" i="3"/>
  <c r="B306" i="3"/>
  <c r="B307" i="3"/>
  <c r="B308" i="3"/>
  <c r="B309" i="3"/>
  <c r="B310" i="3"/>
  <c r="B314" i="3"/>
  <c r="B315" i="3"/>
  <c r="B360" i="3"/>
  <c r="A360" i="3" s="1"/>
  <c r="B361" i="3"/>
  <c r="A361" i="3" s="1"/>
  <c r="B364" i="3"/>
  <c r="A364" i="3" s="1"/>
  <c r="B371" i="3"/>
  <c r="A371" i="3" s="1"/>
  <c r="B372" i="3"/>
  <c r="A372" i="3" s="1"/>
  <c r="B373" i="3"/>
  <c r="A373" i="3" s="1"/>
  <c r="B374" i="3"/>
  <c r="A374" i="3" s="1"/>
  <c r="B375" i="3"/>
  <c r="B376" i="3"/>
  <c r="B377" i="3"/>
  <c r="B378" i="3"/>
  <c r="B379" i="3"/>
  <c r="B380" i="3"/>
  <c r="B381" i="3"/>
  <c r="B382" i="3"/>
  <c r="B383" i="3"/>
  <c r="B384" i="3"/>
  <c r="B385" i="3"/>
  <c r="A385" i="3" s="1"/>
  <c r="B386" i="3"/>
  <c r="B387" i="3"/>
  <c r="B388" i="3"/>
  <c r="B389" i="3"/>
  <c r="B390" i="3"/>
  <c r="B391" i="3"/>
  <c r="B392" i="3"/>
  <c r="B393" i="3"/>
  <c r="B394" i="3"/>
  <c r="B405" i="3"/>
  <c r="A405" i="3" s="1"/>
  <c r="B420" i="3"/>
  <c r="B421" i="3"/>
  <c r="B422" i="3"/>
  <c r="B423" i="3"/>
  <c r="B424" i="3"/>
  <c r="B444" i="3"/>
  <c r="B445" i="3"/>
  <c r="B460" i="3"/>
  <c r="B461" i="3"/>
  <c r="B462" i="3"/>
  <c r="B463" i="3"/>
  <c r="A463" i="3" s="1"/>
  <c r="B464" i="3"/>
  <c r="A464" i="3" s="1"/>
  <c r="B465" i="3"/>
  <c r="A465" i="3" s="1"/>
  <c r="B466" i="3"/>
  <c r="A466" i="3" s="1"/>
  <c r="B467" i="3"/>
  <c r="A467" i="3" s="1"/>
  <c r="B468" i="3"/>
  <c r="A468" i="3" s="1"/>
  <c r="B469" i="3"/>
  <c r="A469" i="3" s="1"/>
  <c r="B470" i="3"/>
  <c r="A470" i="3" s="1"/>
  <c r="B471" i="3"/>
  <c r="A471" i="3" s="1"/>
  <c r="B472" i="3"/>
  <c r="A472" i="3" s="1"/>
  <c r="B473" i="3"/>
  <c r="A473" i="3" s="1"/>
  <c r="B474" i="3"/>
  <c r="A474" i="3" s="1"/>
  <c r="B476" i="3"/>
  <c r="A476" i="3" s="1"/>
  <c r="B480" i="3"/>
  <c r="A480" i="3" s="1"/>
  <c r="B481" i="3"/>
  <c r="A481" i="3" s="1"/>
  <c r="B482" i="3"/>
  <c r="A482" i="3" s="1"/>
  <c r="B486" i="3"/>
  <c r="A486" i="3" s="1"/>
  <c r="B490" i="3"/>
  <c r="A490" i="3" s="1"/>
  <c r="B491" i="3"/>
  <c r="A491" i="3" s="1"/>
  <c r="B492" i="3"/>
  <c r="A492" i="3" s="1"/>
  <c r="B493" i="3"/>
  <c r="A493" i="3" s="1"/>
  <c r="B500" i="3"/>
  <c r="B501" i="3"/>
  <c r="A501" i="3" s="1"/>
  <c r="B514" i="3"/>
  <c r="B3" i="3"/>
  <c r="A3" i="3" s="1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D14" i="6"/>
  <c r="C14" i="6"/>
  <c r="D13" i="6"/>
  <c r="C13" i="6"/>
  <c r="D12" i="6"/>
  <c r="C12" i="6"/>
  <c r="D11" i="6"/>
  <c r="C11" i="6"/>
  <c r="D10" i="6"/>
  <c r="C10" i="6"/>
  <c r="D9" i="6"/>
  <c r="C9" i="6"/>
  <c r="D8" i="6"/>
  <c r="C8" i="6"/>
  <c r="D7" i="6"/>
  <c r="C7" i="6"/>
  <c r="D6" i="6"/>
  <c r="C6" i="6"/>
  <c r="D5" i="6"/>
  <c r="C5" i="6"/>
  <c r="D4" i="6"/>
  <c r="C4" i="6"/>
  <c r="D3" i="6"/>
  <c r="C3" i="6"/>
  <c r="D2" i="6"/>
  <c r="C2" i="6"/>
  <c r="D24" i="6"/>
  <c r="C24" i="6"/>
  <c r="D23" i="6"/>
  <c r="C23" i="6"/>
  <c r="D22" i="6"/>
  <c r="C22" i="6"/>
  <c r="D21" i="6"/>
  <c r="C21" i="6"/>
  <c r="D20" i="6"/>
  <c r="C20" i="6"/>
  <c r="D19" i="6"/>
  <c r="C19" i="6"/>
  <c r="D18" i="6"/>
  <c r="C18" i="6"/>
  <c r="D17" i="6"/>
  <c r="C17" i="6"/>
  <c r="D16" i="6"/>
  <c r="C16" i="6"/>
  <c r="D15" i="6"/>
  <c r="C15" i="6"/>
  <c r="D25" i="6"/>
  <c r="C25" i="6"/>
  <c r="D36" i="6"/>
  <c r="C36" i="6"/>
  <c r="D35" i="6"/>
  <c r="C35" i="6"/>
  <c r="D34" i="6"/>
  <c r="C34" i="6"/>
  <c r="D33" i="6"/>
  <c r="C33" i="6"/>
  <c r="D32" i="6"/>
  <c r="C32" i="6"/>
  <c r="D31" i="6"/>
  <c r="C31" i="6"/>
  <c r="D30" i="6"/>
  <c r="C30" i="6"/>
  <c r="D29" i="6"/>
  <c r="C29" i="6"/>
  <c r="D28" i="6"/>
  <c r="C28" i="6"/>
  <c r="D27" i="6"/>
  <c r="C27" i="6"/>
  <c r="D26" i="6"/>
  <c r="C26" i="6"/>
  <c r="D37" i="6"/>
  <c r="C37" i="6"/>
  <c r="D39" i="6"/>
  <c r="C39" i="6"/>
  <c r="D38" i="6"/>
  <c r="C38" i="6"/>
  <c r="D48" i="6"/>
  <c r="C48" i="6"/>
  <c r="D47" i="6"/>
  <c r="C47" i="6"/>
  <c r="D46" i="6"/>
  <c r="C46" i="6"/>
  <c r="D45" i="6"/>
  <c r="C45" i="6"/>
  <c r="D44" i="6"/>
  <c r="C44" i="6"/>
  <c r="D43" i="6"/>
  <c r="C43" i="6"/>
  <c r="D42" i="6"/>
  <c r="C42" i="6"/>
  <c r="D41" i="6"/>
  <c r="C41" i="6"/>
  <c r="D40" i="6"/>
  <c r="C40" i="6"/>
  <c r="D49" i="6"/>
  <c r="C49" i="6"/>
  <c r="D60" i="6"/>
  <c r="C60" i="6"/>
  <c r="D59" i="6"/>
  <c r="C59" i="6"/>
  <c r="D58" i="6"/>
  <c r="C58" i="6"/>
  <c r="D57" i="6"/>
  <c r="C57" i="6"/>
  <c r="D56" i="6"/>
  <c r="C56" i="6"/>
  <c r="D55" i="6"/>
  <c r="C55" i="6"/>
  <c r="D54" i="6"/>
  <c r="C54" i="6"/>
  <c r="D53" i="6"/>
  <c r="C53" i="6"/>
  <c r="D52" i="6"/>
  <c r="C52" i="6"/>
  <c r="D51" i="6"/>
  <c r="C51" i="6"/>
  <c r="D50" i="6"/>
  <c r="C50" i="6"/>
  <c r="D61" i="6"/>
  <c r="C61" i="6"/>
  <c r="A423" i="3" l="1"/>
  <c r="Q442" i="3"/>
  <c r="R442" i="3"/>
  <c r="S442" i="3"/>
  <c r="T442" i="3"/>
  <c r="A391" i="3"/>
  <c r="R410" i="3"/>
  <c r="S410" i="3"/>
  <c r="Q410" i="3"/>
  <c r="T410" i="3"/>
  <c r="A383" i="3"/>
  <c r="R403" i="3"/>
  <c r="S403" i="3"/>
  <c r="Q403" i="3"/>
  <c r="T403" i="3"/>
  <c r="A375" i="3"/>
  <c r="R395" i="3"/>
  <c r="S395" i="3"/>
  <c r="Q395" i="3"/>
  <c r="T395" i="3"/>
  <c r="A315" i="3"/>
  <c r="S333" i="3"/>
  <c r="R333" i="3"/>
  <c r="Q333" i="3"/>
  <c r="A304" i="3"/>
  <c r="Q322" i="3"/>
  <c r="R322" i="3"/>
  <c r="S322" i="3"/>
  <c r="T322" i="3"/>
  <c r="A298" i="3"/>
  <c r="S316" i="3"/>
  <c r="R316" i="3"/>
  <c r="Q316" i="3"/>
  <c r="T316" i="3"/>
  <c r="A255" i="3"/>
  <c r="Q273" i="3"/>
  <c r="R273" i="3"/>
  <c r="S273" i="3"/>
  <c r="T273" i="3"/>
  <c r="A190" i="3"/>
  <c r="Q189" i="3"/>
  <c r="S189" i="3"/>
  <c r="R189" i="3"/>
  <c r="T189" i="3"/>
  <c r="A161" i="3"/>
  <c r="S155" i="3"/>
  <c r="Q155" i="3"/>
  <c r="R155" i="3"/>
  <c r="T155" i="3"/>
  <c r="A127" i="3"/>
  <c r="S135" i="3"/>
  <c r="R135" i="3"/>
  <c r="Q135" i="3"/>
  <c r="A79" i="3"/>
  <c r="Q89" i="3"/>
  <c r="S89" i="3"/>
  <c r="R89" i="3"/>
  <c r="T89" i="3"/>
  <c r="A514" i="3"/>
  <c r="S513" i="3"/>
  <c r="Q513" i="3"/>
  <c r="R513" i="3"/>
  <c r="T513" i="3"/>
  <c r="A422" i="3"/>
  <c r="R441" i="3"/>
  <c r="S441" i="3"/>
  <c r="Q441" i="3"/>
  <c r="T441" i="3"/>
  <c r="A390" i="3"/>
  <c r="R409" i="3"/>
  <c r="Q409" i="3"/>
  <c r="S409" i="3"/>
  <c r="T409" i="3"/>
  <c r="A382" i="3"/>
  <c r="R402" i="3"/>
  <c r="Q402" i="3"/>
  <c r="S402" i="3"/>
  <c r="T402" i="3"/>
  <c r="A314" i="3"/>
  <c r="S332" i="3"/>
  <c r="R332" i="3"/>
  <c r="Q332" i="3"/>
  <c r="A303" i="3"/>
  <c r="S321" i="3"/>
  <c r="R321" i="3"/>
  <c r="Q321" i="3"/>
  <c r="T321" i="3"/>
  <c r="A254" i="3"/>
  <c r="S272" i="3"/>
  <c r="R272" i="3"/>
  <c r="Q272" i="3"/>
  <c r="T272" i="3"/>
  <c r="A179" i="3"/>
  <c r="S177" i="3"/>
  <c r="R177" i="3"/>
  <c r="Q177" i="3"/>
  <c r="A126" i="3"/>
  <c r="S134" i="3"/>
  <c r="R134" i="3"/>
  <c r="Q134" i="3"/>
  <c r="A78" i="3"/>
  <c r="S88" i="3"/>
  <c r="R88" i="3"/>
  <c r="Q88" i="3"/>
  <c r="T88" i="3"/>
  <c r="A59" i="3"/>
  <c r="R57" i="3"/>
  <c r="Q57" i="3"/>
  <c r="S57" i="3"/>
  <c r="T57" i="3"/>
  <c r="A310" i="3"/>
  <c r="S328" i="3"/>
  <c r="R328" i="3"/>
  <c r="Q328" i="3"/>
  <c r="T328" i="3"/>
  <c r="A302" i="3"/>
  <c r="R320" i="3"/>
  <c r="Q320" i="3"/>
  <c r="S320" i="3"/>
  <c r="T320" i="3"/>
  <c r="A294" i="3"/>
  <c r="S312" i="3"/>
  <c r="R312" i="3"/>
  <c r="Q312" i="3"/>
  <c r="T312" i="3"/>
  <c r="A253" i="3"/>
  <c r="S271" i="3"/>
  <c r="R271" i="3"/>
  <c r="Q271" i="3"/>
  <c r="T271" i="3"/>
  <c r="A178" i="3"/>
  <c r="S176" i="3"/>
  <c r="R176" i="3"/>
  <c r="Q176" i="3"/>
  <c r="A175" i="3"/>
  <c r="S170" i="3"/>
  <c r="R170" i="3"/>
  <c r="Q170" i="3"/>
  <c r="T170" i="3"/>
  <c r="A116" i="3"/>
  <c r="R120" i="3"/>
  <c r="Q120" i="3"/>
  <c r="S120" i="3"/>
  <c r="T120" i="3"/>
  <c r="A122" i="3"/>
  <c r="R130" i="3"/>
  <c r="Q130" i="3"/>
  <c r="S130" i="3"/>
  <c r="T130" i="3"/>
  <c r="A77" i="3"/>
  <c r="R87" i="3"/>
  <c r="Q87" i="3"/>
  <c r="S87" i="3"/>
  <c r="T87" i="3"/>
  <c r="A47" i="3"/>
  <c r="S45" i="3"/>
  <c r="Q45" i="3"/>
  <c r="R45" i="3"/>
  <c r="T45" i="3"/>
  <c r="A389" i="3"/>
  <c r="R408" i="3"/>
  <c r="S408" i="3"/>
  <c r="Q408" i="3"/>
  <c r="T408" i="3"/>
  <c r="A461" i="3"/>
  <c r="R247" i="3"/>
  <c r="Q247" i="3"/>
  <c r="S247" i="3"/>
  <c r="T247" i="3"/>
  <c r="A420" i="3"/>
  <c r="S439" i="3"/>
  <c r="R439" i="3"/>
  <c r="Q439" i="3"/>
  <c r="T439" i="3"/>
  <c r="A388" i="3"/>
  <c r="S407" i="3"/>
  <c r="R407" i="3"/>
  <c r="Q407" i="3"/>
  <c r="T407" i="3"/>
  <c r="A380" i="3"/>
  <c r="S400" i="3"/>
  <c r="R400" i="3"/>
  <c r="Q400" i="3"/>
  <c r="T400" i="3"/>
  <c r="A309" i="3"/>
  <c r="S327" i="3"/>
  <c r="R327" i="3"/>
  <c r="Q327" i="3"/>
  <c r="T327" i="3"/>
  <c r="A293" i="3"/>
  <c r="S311" i="3"/>
  <c r="R311" i="3"/>
  <c r="Q311" i="3"/>
  <c r="T311" i="3"/>
  <c r="A252" i="3"/>
  <c r="S270" i="3"/>
  <c r="Q270" i="3"/>
  <c r="R270" i="3"/>
  <c r="T270" i="3"/>
  <c r="A171" i="3"/>
  <c r="S166" i="3"/>
  <c r="R166" i="3"/>
  <c r="Q166" i="3"/>
  <c r="T166" i="3"/>
  <c r="A174" i="3"/>
  <c r="Q169" i="3"/>
  <c r="R169" i="3"/>
  <c r="S169" i="3"/>
  <c r="A115" i="3"/>
  <c r="S119" i="3"/>
  <c r="R119" i="3"/>
  <c r="Q119" i="3"/>
  <c r="T119" i="3"/>
  <c r="A76" i="3"/>
  <c r="Q86" i="3"/>
  <c r="S86" i="3"/>
  <c r="R86" i="3"/>
  <c r="A46" i="3"/>
  <c r="S44" i="3"/>
  <c r="Q44" i="3"/>
  <c r="R44" i="3"/>
  <c r="T44" i="3"/>
  <c r="A462" i="3"/>
  <c r="R248" i="3"/>
  <c r="S248" i="3"/>
  <c r="Q248" i="3"/>
  <c r="A500" i="3"/>
  <c r="S499" i="3"/>
  <c r="R499" i="3"/>
  <c r="Q499" i="3"/>
  <c r="T499" i="3"/>
  <c r="A460" i="3"/>
  <c r="S246" i="3"/>
  <c r="R246" i="3"/>
  <c r="Q246" i="3"/>
  <c r="A387" i="3"/>
  <c r="R406" i="3"/>
  <c r="Q406" i="3"/>
  <c r="S406" i="3"/>
  <c r="T406" i="3"/>
  <c r="A379" i="3"/>
  <c r="R399" i="3"/>
  <c r="Q399" i="3"/>
  <c r="S399" i="3"/>
  <c r="T399" i="3"/>
  <c r="A308" i="3"/>
  <c r="S326" i="3"/>
  <c r="R326" i="3"/>
  <c r="Q326" i="3"/>
  <c r="A251" i="3"/>
  <c r="S269" i="3"/>
  <c r="R269" i="3"/>
  <c r="Q269" i="3"/>
  <c r="T269" i="3"/>
  <c r="A173" i="3"/>
  <c r="S168" i="3"/>
  <c r="R168" i="3"/>
  <c r="Q168" i="3"/>
  <c r="T168" i="3"/>
  <c r="A150" i="3"/>
  <c r="S114" i="3"/>
  <c r="R114" i="3"/>
  <c r="Q114" i="3"/>
  <c r="T114" i="3"/>
  <c r="A138" i="3"/>
  <c r="S141" i="3"/>
  <c r="R141" i="3"/>
  <c r="Q141" i="3"/>
  <c r="A75" i="3"/>
  <c r="R85" i="3"/>
  <c r="S85" i="3"/>
  <c r="Q85" i="3"/>
  <c r="T85" i="3"/>
  <c r="A34" i="3"/>
  <c r="S32" i="3"/>
  <c r="R32" i="3"/>
  <c r="Q32" i="3"/>
  <c r="T32" i="3"/>
  <c r="A421" i="3"/>
  <c r="R440" i="3"/>
  <c r="S440" i="3"/>
  <c r="Q440" i="3"/>
  <c r="T440" i="3"/>
  <c r="A445" i="3"/>
  <c r="S231" i="3"/>
  <c r="Q231" i="3"/>
  <c r="R231" i="3"/>
  <c r="T231" i="3"/>
  <c r="A394" i="3"/>
  <c r="Q413" i="3"/>
  <c r="R413" i="3"/>
  <c r="S413" i="3"/>
  <c r="T413" i="3"/>
  <c r="A386" i="3"/>
  <c r="S125" i="3"/>
  <c r="Q125" i="3"/>
  <c r="R125" i="3"/>
  <c r="T125" i="3"/>
  <c r="A378" i="3"/>
  <c r="R398" i="3"/>
  <c r="Q398" i="3"/>
  <c r="S398" i="3"/>
  <c r="T398" i="3"/>
  <c r="A307" i="3"/>
  <c r="Q325" i="3"/>
  <c r="R325" i="3"/>
  <c r="S325" i="3"/>
  <c r="A301" i="3"/>
  <c r="Q319" i="3"/>
  <c r="R319" i="3"/>
  <c r="S319" i="3"/>
  <c r="T319" i="3"/>
  <c r="A250" i="3"/>
  <c r="S268" i="3"/>
  <c r="R268" i="3"/>
  <c r="Q268" i="3"/>
  <c r="T268" i="3"/>
  <c r="A172" i="3"/>
  <c r="R167" i="3"/>
  <c r="Q167" i="3"/>
  <c r="S167" i="3"/>
  <c r="T167" i="3"/>
  <c r="A147" i="3"/>
  <c r="S111" i="3"/>
  <c r="R111" i="3"/>
  <c r="Q111" i="3"/>
  <c r="T111" i="3"/>
  <c r="A137" i="3"/>
  <c r="S140" i="3"/>
  <c r="R140" i="3"/>
  <c r="Q140" i="3"/>
  <c r="A108" i="3"/>
  <c r="R105" i="3"/>
  <c r="Q105" i="3"/>
  <c r="S105" i="3"/>
  <c r="T105" i="3"/>
  <c r="A74" i="3"/>
  <c r="S84" i="3"/>
  <c r="R84" i="3"/>
  <c r="Q84" i="3"/>
  <c r="T84" i="3"/>
  <c r="A249" i="3"/>
  <c r="S267" i="3"/>
  <c r="R267" i="3"/>
  <c r="Q267" i="3"/>
  <c r="T267" i="3"/>
  <c r="A381" i="3"/>
  <c r="R401" i="3"/>
  <c r="S401" i="3"/>
  <c r="Q401" i="3"/>
  <c r="T401" i="3"/>
  <c r="A444" i="3"/>
  <c r="S230" i="3"/>
  <c r="R230" i="3"/>
  <c r="Q230" i="3"/>
  <c r="A393" i="3"/>
  <c r="R412" i="3"/>
  <c r="Q412" i="3"/>
  <c r="S412" i="3"/>
  <c r="T412" i="3"/>
  <c r="A377" i="3"/>
  <c r="Q397" i="3"/>
  <c r="S397" i="3"/>
  <c r="R397" i="3"/>
  <c r="T397" i="3"/>
  <c r="A306" i="3"/>
  <c r="Q324" i="3"/>
  <c r="R324" i="3"/>
  <c r="S324" i="3"/>
  <c r="A300" i="3"/>
  <c r="R318" i="3"/>
  <c r="Q318" i="3"/>
  <c r="S318" i="3"/>
  <c r="T318" i="3"/>
  <c r="A163" i="3"/>
  <c r="S157" i="3"/>
  <c r="R157" i="3"/>
  <c r="Q157" i="3"/>
  <c r="T157" i="3"/>
  <c r="A146" i="3"/>
  <c r="S110" i="3"/>
  <c r="R110" i="3"/>
  <c r="Q110" i="3"/>
  <c r="A107" i="3"/>
  <c r="Q104" i="3"/>
  <c r="R104" i="3"/>
  <c r="S104" i="3"/>
  <c r="T104" i="3"/>
  <c r="A58" i="3"/>
  <c r="S56" i="3"/>
  <c r="R56" i="3"/>
  <c r="Q56" i="3"/>
  <c r="T56" i="3"/>
  <c r="A424" i="3"/>
  <c r="S443" i="3"/>
  <c r="Q443" i="3"/>
  <c r="R443" i="3"/>
  <c r="T443" i="3"/>
  <c r="A392" i="3"/>
  <c r="Q411" i="3"/>
  <c r="R411" i="3"/>
  <c r="S411" i="3"/>
  <c r="T411" i="3"/>
  <c r="A384" i="3"/>
  <c r="S404" i="3"/>
  <c r="Q404" i="3"/>
  <c r="R404" i="3"/>
  <c r="T404" i="3"/>
  <c r="A376" i="3"/>
  <c r="S396" i="3"/>
  <c r="Q396" i="3"/>
  <c r="R396" i="3"/>
  <c r="T396" i="3"/>
  <c r="A305" i="3"/>
  <c r="S323" i="3"/>
  <c r="R323" i="3"/>
  <c r="Q323" i="3"/>
  <c r="T323" i="3"/>
  <c r="A299" i="3"/>
  <c r="S317" i="3"/>
  <c r="R317" i="3"/>
  <c r="Q317" i="3"/>
  <c r="T317" i="3"/>
  <c r="A256" i="3"/>
  <c r="R274" i="3"/>
  <c r="S274" i="3"/>
  <c r="Q274" i="3"/>
  <c r="T274" i="3"/>
  <c r="A212" i="3"/>
  <c r="S211" i="3"/>
  <c r="Q211" i="3"/>
  <c r="R211" i="3"/>
  <c r="T211" i="3"/>
  <c r="A162" i="3"/>
  <c r="Q156" i="3"/>
  <c r="S156" i="3"/>
  <c r="R156" i="3"/>
  <c r="T156" i="3"/>
  <c r="A145" i="3"/>
  <c r="S109" i="3"/>
  <c r="R109" i="3"/>
  <c r="Q109" i="3"/>
  <c r="T109" i="3"/>
  <c r="A128" i="3"/>
  <c r="S136" i="3"/>
  <c r="R136" i="3"/>
  <c r="Q136" i="3"/>
  <c r="T136" i="3"/>
  <c r="E5" i="9" a="1"/>
  <c r="E5" i="9" s="1"/>
  <c r="E13" i="9" a="1"/>
  <c r="E13" i="9" s="1"/>
  <c r="E7" i="9" a="1"/>
  <c r="E7" i="9" s="1"/>
  <c r="D13" i="9" a="1"/>
  <c r="D13" i="9" s="1"/>
  <c r="D5" i="9" a="1"/>
  <c r="D5" i="9" s="1"/>
  <c r="D11" i="9" a="1"/>
  <c r="D11" i="9" s="1"/>
  <c r="E11" i="9" a="1"/>
  <c r="E11" i="9" s="1"/>
  <c r="D9" i="9" a="1"/>
  <c r="D9" i="9" s="1"/>
  <c r="E10" i="9" a="1"/>
  <c r="E10" i="9" s="1"/>
  <c r="F13" i="9"/>
  <c r="H13" i="9" s="1"/>
  <c r="F5" i="9"/>
  <c r="D8" i="9" a="1"/>
  <c r="D8" i="9" s="1"/>
  <c r="E9" i="9" a="1"/>
  <c r="E9" i="9" s="1"/>
  <c r="F12" i="9"/>
  <c r="D15" i="9" a="1"/>
  <c r="D15" i="9" s="1"/>
  <c r="D7" i="9" a="1"/>
  <c r="D7" i="9" s="1"/>
  <c r="E8" i="9" a="1"/>
  <c r="E8" i="9" s="1"/>
  <c r="F11" i="9"/>
  <c r="H11" i="9" s="1"/>
  <c r="D14" i="9" a="1"/>
  <c r="D14" i="9" s="1"/>
  <c r="D6" i="9" a="1"/>
  <c r="D6" i="9" s="1"/>
  <c r="E15" i="9" a="1"/>
  <c r="E15" i="9" s="1"/>
  <c r="F10" i="9"/>
  <c r="E14" i="9" a="1"/>
  <c r="E14" i="9" s="1"/>
  <c r="E6" i="9" a="1"/>
  <c r="E6" i="9" s="1"/>
  <c r="F9" i="9"/>
  <c r="D12" i="9" a="1"/>
  <c r="D12" i="9" s="1"/>
  <c r="H12" i="9" s="1"/>
  <c r="F8" i="9"/>
  <c r="G9" i="9"/>
  <c r="E12" i="9" a="1"/>
  <c r="E12" i="9" s="1"/>
  <c r="F15" i="9"/>
  <c r="F7" i="9"/>
  <c r="D10" i="9" a="1"/>
  <c r="D10" i="9" s="1"/>
  <c r="H10" i="9" s="1"/>
  <c r="F14" i="9"/>
  <c r="F6" i="9"/>
  <c r="T383" i="3"/>
  <c r="R383" i="3"/>
  <c r="S383" i="3"/>
  <c r="Q383" i="3"/>
  <c r="T190" i="3"/>
  <c r="R190" i="3"/>
  <c r="Q190" i="3"/>
  <c r="S190" i="3"/>
  <c r="S60" i="3"/>
  <c r="T60" i="3"/>
  <c r="R60" i="3"/>
  <c r="Q60" i="3"/>
  <c r="T422" i="3"/>
  <c r="R422" i="3"/>
  <c r="S422" i="3"/>
  <c r="Q422" i="3"/>
  <c r="S297" i="3"/>
  <c r="R297" i="3"/>
  <c r="Q297" i="3"/>
  <c r="T297" i="3"/>
  <c r="T59" i="3"/>
  <c r="R59" i="3"/>
  <c r="Q59" i="3"/>
  <c r="S59" i="3"/>
  <c r="R514" i="3"/>
  <c r="S514" i="3"/>
  <c r="T514" i="3"/>
  <c r="Q514" i="3"/>
  <c r="R482" i="3"/>
  <c r="S482" i="3"/>
  <c r="Q482" i="3"/>
  <c r="T482" i="3"/>
  <c r="R470" i="3"/>
  <c r="S470" i="3"/>
  <c r="T470" i="3"/>
  <c r="Q470" i="3"/>
  <c r="T462" i="3"/>
  <c r="R462" i="3"/>
  <c r="Q462" i="3"/>
  <c r="S462" i="3"/>
  <c r="R421" i="3"/>
  <c r="S421" i="3"/>
  <c r="T421" i="3"/>
  <c r="Q421" i="3"/>
  <c r="S389" i="3"/>
  <c r="T389" i="3"/>
  <c r="Q389" i="3"/>
  <c r="R389" i="3"/>
  <c r="S381" i="3"/>
  <c r="T381" i="3"/>
  <c r="Q381" i="3"/>
  <c r="R381" i="3"/>
  <c r="S373" i="3"/>
  <c r="T373" i="3"/>
  <c r="Q373" i="3"/>
  <c r="R373" i="3"/>
  <c r="T310" i="3"/>
  <c r="R310" i="3"/>
  <c r="Q310" i="3"/>
  <c r="S310" i="3"/>
  <c r="R302" i="3"/>
  <c r="Q302" i="3"/>
  <c r="S302" i="3"/>
  <c r="S294" i="3"/>
  <c r="T294" i="3"/>
  <c r="R294" i="3"/>
  <c r="Q294" i="3"/>
  <c r="S253" i="3"/>
  <c r="T253" i="3"/>
  <c r="R253" i="3"/>
  <c r="Q253" i="3"/>
  <c r="T178" i="3"/>
  <c r="S178" i="3"/>
  <c r="R178" i="3"/>
  <c r="Q178" i="3"/>
  <c r="T175" i="3"/>
  <c r="S175" i="3"/>
  <c r="R175" i="3"/>
  <c r="Q175" i="3"/>
  <c r="S116" i="3"/>
  <c r="T116" i="3"/>
  <c r="R116" i="3"/>
  <c r="Q116" i="3"/>
  <c r="S142" i="3"/>
  <c r="R142" i="3"/>
  <c r="Q142" i="3"/>
  <c r="S122" i="3"/>
  <c r="T122" i="3"/>
  <c r="R122" i="3"/>
  <c r="Q122" i="3"/>
  <c r="T77" i="3"/>
  <c r="R77" i="3"/>
  <c r="Q77" i="3"/>
  <c r="S77" i="3"/>
  <c r="S66" i="3"/>
  <c r="R66" i="3"/>
  <c r="Q66" i="3"/>
  <c r="T66" i="3"/>
  <c r="S47" i="3"/>
  <c r="T47" i="3"/>
  <c r="R47" i="3"/>
  <c r="Q47" i="3"/>
  <c r="S464" i="3"/>
  <c r="T464" i="3"/>
  <c r="R464" i="3"/>
  <c r="Q464" i="3"/>
  <c r="S304" i="3"/>
  <c r="T304" i="3"/>
  <c r="R304" i="3"/>
  <c r="Q304" i="3"/>
  <c r="S151" i="3"/>
  <c r="T151" i="3"/>
  <c r="R151" i="3"/>
  <c r="Q151" i="3"/>
  <c r="R374" i="3"/>
  <c r="S374" i="3"/>
  <c r="Q374" i="3"/>
  <c r="T67" i="3"/>
  <c r="R67" i="3"/>
  <c r="Q67" i="3"/>
  <c r="S67" i="3"/>
  <c r="R501" i="3"/>
  <c r="S501" i="3"/>
  <c r="T501" i="3"/>
  <c r="Q501" i="3"/>
  <c r="S481" i="3"/>
  <c r="T481" i="3"/>
  <c r="Q481" i="3"/>
  <c r="R481" i="3"/>
  <c r="R469" i="3"/>
  <c r="S469" i="3"/>
  <c r="T469" i="3"/>
  <c r="Q469" i="3"/>
  <c r="R461" i="3"/>
  <c r="Q461" i="3"/>
  <c r="S461" i="3"/>
  <c r="T461" i="3"/>
  <c r="S420" i="3"/>
  <c r="R420" i="3"/>
  <c r="T420" i="3"/>
  <c r="Q420" i="3"/>
  <c r="S388" i="3"/>
  <c r="T388" i="3"/>
  <c r="Q388" i="3"/>
  <c r="R388" i="3"/>
  <c r="S380" i="3"/>
  <c r="T380" i="3"/>
  <c r="Q380" i="3"/>
  <c r="R380" i="3"/>
  <c r="S372" i="3"/>
  <c r="T372" i="3"/>
  <c r="Q372" i="3"/>
  <c r="R372" i="3"/>
  <c r="S309" i="3"/>
  <c r="R309" i="3"/>
  <c r="Q309" i="3"/>
  <c r="T309" i="3"/>
  <c r="S363" i="3"/>
  <c r="T363" i="3"/>
  <c r="R363" i="3"/>
  <c r="Q363" i="3"/>
  <c r="S293" i="3"/>
  <c r="T293" i="3"/>
  <c r="R293" i="3"/>
  <c r="Q293" i="3"/>
  <c r="T252" i="3"/>
  <c r="S252" i="3"/>
  <c r="R252" i="3"/>
  <c r="Q252" i="3"/>
  <c r="S171" i="3"/>
  <c r="T171" i="3"/>
  <c r="R171" i="3"/>
  <c r="Q171" i="3"/>
  <c r="S174" i="3"/>
  <c r="T174" i="3"/>
  <c r="R174" i="3"/>
  <c r="Q174" i="3"/>
  <c r="S115" i="3"/>
  <c r="T115" i="3"/>
  <c r="R115" i="3"/>
  <c r="Q115" i="3"/>
  <c r="S139" i="3"/>
  <c r="T139" i="3"/>
  <c r="R139" i="3"/>
  <c r="Q139" i="3"/>
  <c r="S121" i="3"/>
  <c r="T121" i="3"/>
  <c r="R121" i="3"/>
  <c r="Q121" i="3"/>
  <c r="S76" i="3"/>
  <c r="R76" i="3"/>
  <c r="Q76" i="3"/>
  <c r="T76" i="3"/>
  <c r="S65" i="3"/>
  <c r="T65" i="3"/>
  <c r="R65" i="3"/>
  <c r="Q65" i="3"/>
  <c r="S46" i="3"/>
  <c r="R46" i="3"/>
  <c r="Q46" i="3"/>
  <c r="S490" i="3"/>
  <c r="T490" i="3"/>
  <c r="Q490" i="3"/>
  <c r="R490" i="3"/>
  <c r="T375" i="3"/>
  <c r="R375" i="3"/>
  <c r="Q375" i="3"/>
  <c r="S375" i="3"/>
  <c r="S161" i="3"/>
  <c r="T161" i="3"/>
  <c r="R161" i="3"/>
  <c r="Q161" i="3"/>
  <c r="S68" i="3"/>
  <c r="T68" i="3"/>
  <c r="R68" i="3"/>
  <c r="Q68" i="3"/>
  <c r="Q390" i="3"/>
  <c r="S390" i="3"/>
  <c r="R390" i="3"/>
  <c r="T390" i="3"/>
  <c r="S254" i="3"/>
  <c r="T254" i="3"/>
  <c r="R254" i="3"/>
  <c r="Q254" i="3"/>
  <c r="S78" i="3"/>
  <c r="T78" i="3"/>
  <c r="R78" i="3"/>
  <c r="Q78" i="3"/>
  <c r="R500" i="3"/>
  <c r="S500" i="3"/>
  <c r="T500" i="3"/>
  <c r="Q500" i="3"/>
  <c r="S480" i="3"/>
  <c r="T480" i="3"/>
  <c r="Q480" i="3"/>
  <c r="R480" i="3"/>
  <c r="S468" i="3"/>
  <c r="R468" i="3"/>
  <c r="T468" i="3"/>
  <c r="Q468" i="3"/>
  <c r="S460" i="3"/>
  <c r="T460" i="3"/>
  <c r="R460" i="3"/>
  <c r="Q460" i="3"/>
  <c r="S405" i="3"/>
  <c r="T405" i="3"/>
  <c r="Q405" i="3"/>
  <c r="R405" i="3"/>
  <c r="T387" i="3"/>
  <c r="R387" i="3"/>
  <c r="Q387" i="3"/>
  <c r="S387" i="3"/>
  <c r="T379" i="3"/>
  <c r="R379" i="3"/>
  <c r="Q379" i="3"/>
  <c r="S379" i="3"/>
  <c r="S371" i="3"/>
  <c r="T371" i="3"/>
  <c r="Q371" i="3"/>
  <c r="R371" i="3"/>
  <c r="S308" i="3"/>
  <c r="T308" i="3"/>
  <c r="R308" i="3"/>
  <c r="Q308" i="3"/>
  <c r="T362" i="3"/>
  <c r="S362" i="3"/>
  <c r="R362" i="3"/>
  <c r="Q362" i="3"/>
  <c r="T292" i="3"/>
  <c r="S292" i="3"/>
  <c r="R292" i="3"/>
  <c r="Q292" i="3"/>
  <c r="S251" i="3"/>
  <c r="T251" i="3"/>
  <c r="R251" i="3"/>
  <c r="Q251" i="3"/>
  <c r="S165" i="3"/>
  <c r="T165" i="3"/>
  <c r="R165" i="3"/>
  <c r="Q165" i="3"/>
  <c r="S173" i="3"/>
  <c r="T173" i="3"/>
  <c r="R173" i="3"/>
  <c r="Q173" i="3"/>
  <c r="S150" i="3"/>
  <c r="R150" i="3"/>
  <c r="Q150" i="3"/>
  <c r="T150" i="3"/>
  <c r="S138" i="3"/>
  <c r="T138" i="3"/>
  <c r="R138" i="3"/>
  <c r="Q138" i="3"/>
  <c r="S118" i="3"/>
  <c r="T118" i="3"/>
  <c r="R118" i="3"/>
  <c r="Q118" i="3"/>
  <c r="S75" i="3"/>
  <c r="T75" i="3"/>
  <c r="R75" i="3"/>
  <c r="Q75" i="3"/>
  <c r="S64" i="3"/>
  <c r="T64" i="3"/>
  <c r="R64" i="3"/>
  <c r="Q64" i="3"/>
  <c r="T34" i="3"/>
  <c r="R34" i="3"/>
  <c r="Q34" i="3"/>
  <c r="S34" i="3"/>
  <c r="S472" i="3"/>
  <c r="T472" i="3"/>
  <c r="Q472" i="3"/>
  <c r="R472" i="3"/>
  <c r="S315" i="3"/>
  <c r="R315" i="3"/>
  <c r="Q315" i="3"/>
  <c r="S144" i="3"/>
  <c r="T144" i="3"/>
  <c r="R144" i="3"/>
  <c r="Q144" i="3"/>
  <c r="T463" i="3"/>
  <c r="R463" i="3"/>
  <c r="S463" i="3"/>
  <c r="Q463" i="3"/>
  <c r="S303" i="3"/>
  <c r="T303" i="3"/>
  <c r="R303" i="3"/>
  <c r="Q303" i="3"/>
  <c r="S126" i="3"/>
  <c r="T126" i="3"/>
  <c r="R126" i="3"/>
  <c r="Q126" i="3"/>
  <c r="R493" i="3"/>
  <c r="S493" i="3"/>
  <c r="T493" i="3"/>
  <c r="Q493" i="3"/>
  <c r="S476" i="3"/>
  <c r="R476" i="3"/>
  <c r="T476" i="3"/>
  <c r="Q476" i="3"/>
  <c r="R467" i="3"/>
  <c r="S467" i="3"/>
  <c r="Q467" i="3"/>
  <c r="S445" i="3"/>
  <c r="Q445" i="3"/>
  <c r="R445" i="3"/>
  <c r="R394" i="3"/>
  <c r="S394" i="3"/>
  <c r="T394" i="3"/>
  <c r="Q394" i="3"/>
  <c r="R386" i="3"/>
  <c r="S386" i="3"/>
  <c r="T386" i="3"/>
  <c r="Q386" i="3"/>
  <c r="R378" i="3"/>
  <c r="T378" i="3"/>
  <c r="Q378" i="3"/>
  <c r="S378" i="3"/>
  <c r="S364" i="3"/>
  <c r="T364" i="3"/>
  <c r="Q364" i="3"/>
  <c r="R364" i="3"/>
  <c r="S307" i="3"/>
  <c r="T307" i="3"/>
  <c r="R307" i="3"/>
  <c r="Q307" i="3"/>
  <c r="S301" i="3"/>
  <c r="T301" i="3"/>
  <c r="R301" i="3"/>
  <c r="Q301" i="3"/>
  <c r="S291" i="3"/>
  <c r="T291" i="3"/>
  <c r="R291" i="3"/>
  <c r="Q291" i="3"/>
  <c r="S250" i="3"/>
  <c r="T250" i="3"/>
  <c r="R250" i="3"/>
  <c r="Q250" i="3"/>
  <c r="S164" i="3"/>
  <c r="R164" i="3"/>
  <c r="Q164" i="3"/>
  <c r="S172" i="3"/>
  <c r="T172" i="3"/>
  <c r="R172" i="3"/>
  <c r="Q172" i="3"/>
  <c r="T147" i="3"/>
  <c r="S147" i="3"/>
  <c r="R147" i="3"/>
  <c r="Q147" i="3"/>
  <c r="S137" i="3"/>
  <c r="T137" i="3"/>
  <c r="R137" i="3"/>
  <c r="Q137" i="3"/>
  <c r="T108" i="3"/>
  <c r="R108" i="3"/>
  <c r="Q108" i="3"/>
  <c r="S108" i="3"/>
  <c r="S74" i="3"/>
  <c r="T74" i="3"/>
  <c r="R74" i="3"/>
  <c r="Q74" i="3"/>
  <c r="T63" i="3"/>
  <c r="S63" i="3"/>
  <c r="R63" i="3"/>
  <c r="Q63" i="3"/>
  <c r="S249" i="3"/>
  <c r="T249" i="3"/>
  <c r="R249" i="3"/>
  <c r="Q249" i="3"/>
  <c r="S423" i="3"/>
  <c r="R423" i="3"/>
  <c r="T423" i="3"/>
  <c r="Q423" i="3"/>
  <c r="T298" i="3"/>
  <c r="R298" i="3"/>
  <c r="Q298" i="3"/>
  <c r="S298" i="3"/>
  <c r="S79" i="3"/>
  <c r="T79" i="3"/>
  <c r="R79" i="3"/>
  <c r="Q79" i="3"/>
  <c r="R486" i="3"/>
  <c r="T486" i="3"/>
  <c r="Q486" i="3"/>
  <c r="S486" i="3"/>
  <c r="S382" i="3"/>
  <c r="T382" i="3"/>
  <c r="Q382" i="3"/>
  <c r="R382" i="3"/>
  <c r="S179" i="3"/>
  <c r="T179" i="3"/>
  <c r="R179" i="3"/>
  <c r="Q179" i="3"/>
  <c r="T143" i="3"/>
  <c r="R143" i="3"/>
  <c r="Q143" i="3"/>
  <c r="S143" i="3"/>
  <c r="S492" i="3"/>
  <c r="R492" i="3"/>
  <c r="T492" i="3"/>
  <c r="Q492" i="3"/>
  <c r="Q474" i="3"/>
  <c r="S474" i="3"/>
  <c r="T474" i="3"/>
  <c r="R474" i="3"/>
  <c r="R466" i="3"/>
  <c r="Q466" i="3"/>
  <c r="S466" i="3"/>
  <c r="T466" i="3"/>
  <c r="S444" i="3"/>
  <c r="T444" i="3"/>
  <c r="Q444" i="3"/>
  <c r="R444" i="3"/>
  <c r="R393" i="3"/>
  <c r="S393" i="3"/>
  <c r="T393" i="3"/>
  <c r="Q393" i="3"/>
  <c r="R385" i="3"/>
  <c r="S385" i="3"/>
  <c r="T385" i="3"/>
  <c r="Q385" i="3"/>
  <c r="R377" i="3"/>
  <c r="S377" i="3"/>
  <c r="T377" i="3"/>
  <c r="Q377" i="3"/>
  <c r="S361" i="3"/>
  <c r="T361" i="3"/>
  <c r="R361" i="3"/>
  <c r="Q361" i="3"/>
  <c r="T306" i="3"/>
  <c r="S306" i="3"/>
  <c r="R306" i="3"/>
  <c r="Q306" i="3"/>
  <c r="S300" i="3"/>
  <c r="T300" i="3"/>
  <c r="R300" i="3"/>
  <c r="Q300" i="3"/>
  <c r="S290" i="3"/>
  <c r="R290" i="3"/>
  <c r="Q290" i="3"/>
  <c r="S222" i="3"/>
  <c r="R222" i="3"/>
  <c r="Q222" i="3"/>
  <c r="S163" i="3"/>
  <c r="R163" i="3"/>
  <c r="Q163" i="3"/>
  <c r="T159" i="3"/>
  <c r="R159" i="3"/>
  <c r="Q159" i="3"/>
  <c r="S159" i="3"/>
  <c r="S146" i="3"/>
  <c r="T146" i="3"/>
  <c r="R146" i="3"/>
  <c r="Q146" i="3"/>
  <c r="T129" i="3"/>
  <c r="S129" i="3"/>
  <c r="R129" i="3"/>
  <c r="Q129" i="3"/>
  <c r="S107" i="3"/>
  <c r="R107" i="3"/>
  <c r="Q107" i="3"/>
  <c r="T107" i="3"/>
  <c r="T70" i="3"/>
  <c r="S70" i="3"/>
  <c r="R70" i="3"/>
  <c r="Q70" i="3"/>
  <c r="S62" i="3"/>
  <c r="T62" i="3"/>
  <c r="R62" i="3"/>
  <c r="Q62" i="3"/>
  <c r="S58" i="3"/>
  <c r="T58" i="3"/>
  <c r="R58" i="3"/>
  <c r="Q58" i="3"/>
  <c r="T391" i="3"/>
  <c r="R391" i="3"/>
  <c r="S391" i="3"/>
  <c r="Q391" i="3"/>
  <c r="S255" i="3"/>
  <c r="R255" i="3"/>
  <c r="Q255" i="3"/>
  <c r="T255" i="3"/>
  <c r="S127" i="3"/>
  <c r="T127" i="3"/>
  <c r="R127" i="3"/>
  <c r="Q127" i="3"/>
  <c r="T471" i="3"/>
  <c r="R471" i="3"/>
  <c r="S471" i="3"/>
  <c r="Q471" i="3"/>
  <c r="T314" i="3"/>
  <c r="S314" i="3"/>
  <c r="R314" i="3"/>
  <c r="Q314" i="3"/>
  <c r="T160" i="3"/>
  <c r="R160" i="3"/>
  <c r="Q160" i="3"/>
  <c r="S160" i="3"/>
  <c r="T117" i="3"/>
  <c r="S117" i="3"/>
  <c r="R117" i="3"/>
  <c r="Q117" i="3"/>
  <c r="T491" i="3"/>
  <c r="R491" i="3"/>
  <c r="S491" i="3"/>
  <c r="Q491" i="3"/>
  <c r="S473" i="3"/>
  <c r="T473" i="3"/>
  <c r="Q473" i="3"/>
  <c r="R473" i="3"/>
  <c r="S465" i="3"/>
  <c r="R465" i="3"/>
  <c r="Q465" i="3"/>
  <c r="R424" i="3"/>
  <c r="S424" i="3"/>
  <c r="T424" i="3"/>
  <c r="Q424" i="3"/>
  <c r="S392" i="3"/>
  <c r="R392" i="3"/>
  <c r="T392" i="3"/>
  <c r="Q392" i="3"/>
  <c r="S384" i="3"/>
  <c r="R384" i="3"/>
  <c r="T384" i="3"/>
  <c r="Q384" i="3"/>
  <c r="S376" i="3"/>
  <c r="R376" i="3"/>
  <c r="T376" i="3"/>
  <c r="Q376" i="3"/>
  <c r="S360" i="3"/>
  <c r="R360" i="3"/>
  <c r="Q360" i="3"/>
  <c r="S305" i="3"/>
  <c r="R305" i="3"/>
  <c r="Q305" i="3"/>
  <c r="S299" i="3"/>
  <c r="T299" i="3"/>
  <c r="R299" i="3"/>
  <c r="Q299" i="3"/>
  <c r="T256" i="3"/>
  <c r="R256" i="3"/>
  <c r="Q256" i="3"/>
  <c r="S256" i="3"/>
  <c r="S212" i="3"/>
  <c r="T212" i="3"/>
  <c r="R212" i="3"/>
  <c r="Q212" i="3"/>
  <c r="S162" i="3"/>
  <c r="T162" i="3"/>
  <c r="R162" i="3"/>
  <c r="Q162" i="3"/>
  <c r="S158" i="3"/>
  <c r="R158" i="3"/>
  <c r="Q158" i="3"/>
  <c r="T158" i="3"/>
  <c r="S145" i="3"/>
  <c r="T145" i="3"/>
  <c r="R145" i="3"/>
  <c r="Q145" i="3"/>
  <c r="S128" i="3"/>
  <c r="T128" i="3"/>
  <c r="R128" i="3"/>
  <c r="Q128" i="3"/>
  <c r="S80" i="3"/>
  <c r="T80" i="3"/>
  <c r="R80" i="3"/>
  <c r="Q80" i="3"/>
  <c r="S69" i="3"/>
  <c r="T69" i="3"/>
  <c r="R69" i="3"/>
  <c r="Q69" i="3"/>
  <c r="S61" i="3"/>
  <c r="T61" i="3"/>
  <c r="R61" i="3"/>
  <c r="Q61" i="3"/>
  <c r="S5" i="3"/>
  <c r="T5" i="3"/>
  <c r="R5" i="3"/>
  <c r="Q5" i="3"/>
  <c r="Q3" i="3"/>
  <c r="S3" i="3"/>
  <c r="T3" i="3"/>
  <c r="R3" i="3"/>
  <c r="H15" i="9" l="1"/>
  <c r="H9" i="9"/>
  <c r="H8" i="9"/>
  <c r="F16" i="9"/>
  <c r="H5" i="9"/>
  <c r="H7" i="9"/>
  <c r="H6" i="9"/>
  <c r="D16" i="9"/>
  <c r="E16" i="9"/>
  <c r="H14" i="9"/>
  <c r="I9" i="9"/>
  <c r="D63" i="6"/>
  <c r="C63" i="6"/>
  <c r="C64" i="6" s="1"/>
  <c r="C65" i="6" s="1"/>
  <c r="D75" i="6"/>
  <c r="D76" i="6" s="1"/>
  <c r="H16" i="9" l="1"/>
  <c r="D64" i="6"/>
  <c r="D65" i="6" s="1"/>
  <c r="D77" i="6"/>
  <c r="D78" i="6" s="1"/>
  <c r="D99" i="6" l="1"/>
  <c r="C99" i="6"/>
  <c r="D87" i="6"/>
  <c r="C87" i="6"/>
  <c r="C88" i="6" l="1"/>
  <c r="C89" i="6" s="1"/>
  <c r="C100" i="6"/>
  <c r="C101" i="6" s="1"/>
  <c r="D88" i="6"/>
  <c r="D100" i="6"/>
  <c r="C75" i="6"/>
  <c r="C66" i="6"/>
  <c r="C67" i="6" s="1"/>
  <c r="C102" i="6" l="1"/>
  <c r="C103" i="6" s="1"/>
  <c r="D101" i="6"/>
  <c r="D89" i="6"/>
  <c r="C90" i="6"/>
  <c r="C91" i="6" s="1"/>
  <c r="C76" i="6"/>
  <c r="C77" i="6" s="1"/>
  <c r="C78" i="6" s="1"/>
  <c r="C68" i="6"/>
  <c r="C104" i="6" l="1"/>
  <c r="C105" i="6"/>
  <c r="C106" i="6" s="1"/>
  <c r="C92" i="6"/>
  <c r="C93" i="6" s="1"/>
  <c r="D102" i="6"/>
  <c r="D103" i="6" s="1"/>
  <c r="D90" i="6"/>
  <c r="D91" i="6" s="1"/>
  <c r="D66" i="6"/>
  <c r="D67" i="6" s="1"/>
  <c r="C69" i="6"/>
  <c r="C70" i="6" s="1"/>
  <c r="C107" i="6" l="1"/>
  <c r="C108" i="6" s="1"/>
  <c r="C109" i="6" s="1"/>
  <c r="D92" i="6"/>
  <c r="C94" i="6"/>
  <c r="D104" i="6"/>
  <c r="D105" i="6" s="1"/>
  <c r="D106" i="6" s="1"/>
  <c r="D107" i="6" s="1"/>
  <c r="C95" i="6"/>
  <c r="C96" i="6" s="1"/>
  <c r="D68" i="6"/>
  <c r="D69" i="6" s="1"/>
  <c r="D70" i="6" s="1"/>
  <c r="C71" i="6"/>
  <c r="C72" i="6" s="1"/>
  <c r="D79" i="6"/>
  <c r="C79" i="6"/>
  <c r="D108" i="6" l="1"/>
  <c r="D93" i="6"/>
  <c r="D94" i="6" s="1"/>
  <c r="C73" i="6"/>
  <c r="D71" i="6"/>
  <c r="D72" i="6" s="1"/>
  <c r="D80" i="6"/>
  <c r="D81" i="6" s="1"/>
  <c r="C80" i="6"/>
  <c r="C81" i="6" s="1"/>
  <c r="D95" i="6" l="1"/>
  <c r="D96" i="6"/>
  <c r="C82" i="6"/>
  <c r="C83" i="6" s="1"/>
  <c r="C84" i="6" s="1"/>
  <c r="C85" i="6" s="1"/>
  <c r="D73" i="6"/>
  <c r="D82" i="6"/>
  <c r="D83" i="6" s="1"/>
  <c r="D84" i="6" s="1"/>
  <c r="D85" i="6" s="1"/>
  <c r="D109" i="6"/>
  <c r="D97" i="6" l="1"/>
  <c r="C97" i="6"/>
  <c r="D111" i="6" l="1"/>
  <c r="C123" i="6"/>
  <c r="C111" i="6"/>
  <c r="B2" i="6"/>
  <c r="E2" i="6" s="1"/>
  <c r="F2" i="6" s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3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7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5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29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1755" i="5"/>
  <c r="B1756" i="5"/>
  <c r="B1757" i="5"/>
  <c r="B1758" i="5"/>
  <c r="B1759" i="5"/>
  <c r="B1760" i="5"/>
  <c r="B1761" i="5"/>
  <c r="B1762" i="5"/>
  <c r="B1763" i="5"/>
  <c r="B1764" i="5"/>
  <c r="B1765" i="5"/>
  <c r="B1766" i="5"/>
  <c r="B1767" i="5"/>
  <c r="B1768" i="5"/>
  <c r="B1769" i="5"/>
  <c r="B1770" i="5"/>
  <c r="B1771" i="5"/>
  <c r="B1772" i="5"/>
  <c r="B1773" i="5"/>
  <c r="B1774" i="5"/>
  <c r="B1775" i="5"/>
  <c r="B1776" i="5"/>
  <c r="B1777" i="5"/>
  <c r="B1778" i="5"/>
  <c r="B1779" i="5"/>
  <c r="B1780" i="5"/>
  <c r="B1781" i="5"/>
  <c r="B1782" i="5"/>
  <c r="B1783" i="5"/>
  <c r="B1784" i="5"/>
  <c r="B1785" i="5"/>
  <c r="B1786" i="5"/>
  <c r="B1787" i="5"/>
  <c r="B1788" i="5"/>
  <c r="B1789" i="5"/>
  <c r="B1790" i="5"/>
  <c r="B1791" i="5"/>
  <c r="B1792" i="5"/>
  <c r="B1793" i="5"/>
  <c r="B1794" i="5"/>
  <c r="B1795" i="5"/>
  <c r="B1796" i="5"/>
  <c r="B1797" i="5"/>
  <c r="B1798" i="5"/>
  <c r="B1799" i="5"/>
  <c r="B1800" i="5"/>
  <c r="B1801" i="5"/>
  <c r="B1802" i="5"/>
  <c r="B1803" i="5"/>
  <c r="B1804" i="5"/>
  <c r="B1805" i="5"/>
  <c r="B1806" i="5"/>
  <c r="B1807" i="5"/>
  <c r="B1808" i="5"/>
  <c r="B1809" i="5"/>
  <c r="B1810" i="5"/>
  <c r="B1811" i="5"/>
  <c r="B1812" i="5"/>
  <c r="B1813" i="5"/>
  <c r="B1814" i="5"/>
  <c r="B1815" i="5"/>
  <c r="B1816" i="5"/>
  <c r="B1817" i="5"/>
  <c r="B1818" i="5"/>
  <c r="B1819" i="5"/>
  <c r="B1820" i="5"/>
  <c r="B1821" i="5"/>
  <c r="B1822" i="5"/>
  <c r="B1823" i="5"/>
  <c r="B1824" i="5"/>
  <c r="B1825" i="5"/>
  <c r="B1826" i="5"/>
  <c r="B1827" i="5"/>
  <c r="B1828" i="5"/>
  <c r="B1829" i="5"/>
  <c r="B1830" i="5"/>
  <c r="B1831" i="5"/>
  <c r="B1832" i="5"/>
  <c r="B1833" i="5"/>
  <c r="B1834" i="5"/>
  <c r="B1835" i="5"/>
  <c r="B1836" i="5"/>
  <c r="B1837" i="5"/>
  <c r="B1838" i="5"/>
  <c r="B1839" i="5"/>
  <c r="B1840" i="5"/>
  <c r="B1841" i="5"/>
  <c r="B1842" i="5"/>
  <c r="B1843" i="5"/>
  <c r="B1844" i="5"/>
  <c r="B1845" i="5"/>
  <c r="B1846" i="5"/>
  <c r="B1847" i="5"/>
  <c r="B1848" i="5"/>
  <c r="B1849" i="5"/>
  <c r="B1850" i="5"/>
  <c r="B1851" i="5"/>
  <c r="B1852" i="5"/>
  <c r="B1853" i="5"/>
  <c r="B1854" i="5"/>
  <c r="B1855" i="5"/>
  <c r="B1856" i="5"/>
  <c r="B1857" i="5"/>
  <c r="B1858" i="5"/>
  <c r="B1859" i="5"/>
  <c r="B1860" i="5"/>
  <c r="B1861" i="5"/>
  <c r="B1862" i="5"/>
  <c r="B1863" i="5"/>
  <c r="B1864" i="5"/>
  <c r="B1865" i="5"/>
  <c r="B1866" i="5"/>
  <c r="B1867" i="5"/>
  <c r="B1868" i="5"/>
  <c r="B1869" i="5"/>
  <c r="B1870" i="5"/>
  <c r="B1871" i="5"/>
  <c r="B1872" i="5"/>
  <c r="B1873" i="5"/>
  <c r="B1874" i="5"/>
  <c r="B1875" i="5"/>
  <c r="B1876" i="5"/>
  <c r="B1877" i="5"/>
  <c r="B1878" i="5"/>
  <c r="B1879" i="5"/>
  <c r="B1880" i="5"/>
  <c r="B1881" i="5"/>
  <c r="B1882" i="5"/>
  <c r="B1883" i="5"/>
  <c r="B1884" i="5"/>
  <c r="B1885" i="5"/>
  <c r="B1886" i="5"/>
  <c r="B1887" i="5"/>
  <c r="B1888" i="5"/>
  <c r="B1889" i="5"/>
  <c r="B1890" i="5"/>
  <c r="B1891" i="5"/>
  <c r="B1892" i="5"/>
  <c r="B1893" i="5"/>
  <c r="B1894" i="5"/>
  <c r="B1895" i="5"/>
  <c r="B1896" i="5"/>
  <c r="B1897" i="5"/>
  <c r="B1898" i="5"/>
  <c r="B1899" i="5"/>
  <c r="B1900" i="5"/>
  <c r="B1901" i="5"/>
  <c r="B1902" i="5"/>
  <c r="B1903" i="5"/>
  <c r="B1904" i="5"/>
  <c r="B1905" i="5"/>
  <c r="B1906" i="5"/>
  <c r="B1907" i="5"/>
  <c r="B1908" i="5"/>
  <c r="B1909" i="5"/>
  <c r="B1910" i="5"/>
  <c r="B1911" i="5"/>
  <c r="B1912" i="5"/>
  <c r="B1913" i="5"/>
  <c r="B1914" i="5"/>
  <c r="B1915" i="5"/>
  <c r="B1916" i="5"/>
  <c r="B1917" i="5"/>
  <c r="B1918" i="5"/>
  <c r="B1919" i="5"/>
  <c r="B1920" i="5"/>
  <c r="B1921" i="5"/>
  <c r="B1922" i="5"/>
  <c r="B1923" i="5"/>
  <c r="B1924" i="5"/>
  <c r="B1925" i="5"/>
  <c r="B1926" i="5"/>
  <c r="B1927" i="5"/>
  <c r="B1928" i="5"/>
  <c r="B1929" i="5"/>
  <c r="B1930" i="5"/>
  <c r="B1931" i="5"/>
  <c r="B1932" i="5"/>
  <c r="B1933" i="5"/>
  <c r="B1934" i="5"/>
  <c r="B1935" i="5"/>
  <c r="B1936" i="5"/>
  <c r="B1937" i="5"/>
  <c r="B1938" i="5"/>
  <c r="B1939" i="5"/>
  <c r="B1940" i="5"/>
  <c r="B1941" i="5"/>
  <c r="B1942" i="5"/>
  <c r="B1943" i="5"/>
  <c r="B1944" i="5"/>
  <c r="B1945" i="5"/>
  <c r="B1946" i="5"/>
  <c r="B1947" i="5"/>
  <c r="B1948" i="5"/>
  <c r="B1949" i="5"/>
  <c r="B1950" i="5"/>
  <c r="B1951" i="5"/>
  <c r="B1952" i="5"/>
  <c r="B1953" i="5"/>
  <c r="B1954" i="5"/>
  <c r="B1955" i="5"/>
  <c r="B1956" i="5"/>
  <c r="B1957" i="5"/>
  <c r="B1958" i="5"/>
  <c r="B1959" i="5"/>
  <c r="B1960" i="5"/>
  <c r="B1961" i="5"/>
  <c r="B1962" i="5"/>
  <c r="B1963" i="5"/>
  <c r="B1964" i="5"/>
  <c r="B1965" i="5"/>
  <c r="B1966" i="5"/>
  <c r="B1967" i="5"/>
  <c r="B1968" i="5"/>
  <c r="B1969" i="5"/>
  <c r="B1970" i="5"/>
  <c r="B1971" i="5"/>
  <c r="B1972" i="5"/>
  <c r="B1973" i="5"/>
  <c r="B1974" i="5"/>
  <c r="B1975" i="5"/>
  <c r="B1976" i="5"/>
  <c r="B1977" i="5"/>
  <c r="B1978" i="5"/>
  <c r="B1979" i="5"/>
  <c r="B1980" i="5"/>
  <c r="B1981" i="5"/>
  <c r="B1982" i="5"/>
  <c r="B1983" i="5"/>
  <c r="B1984" i="5"/>
  <c r="B1985" i="5"/>
  <c r="B1986" i="5"/>
  <c r="B1987" i="5"/>
  <c r="B1988" i="5"/>
  <c r="B1989" i="5"/>
  <c r="B1990" i="5"/>
  <c r="B1991" i="5"/>
  <c r="B1992" i="5"/>
  <c r="B1993" i="5"/>
  <c r="B1994" i="5"/>
  <c r="B1995" i="5"/>
  <c r="B1996" i="5"/>
  <c r="B1997" i="5"/>
  <c r="B1998" i="5"/>
  <c r="B1999" i="5"/>
  <c r="B2000" i="5"/>
  <c r="B2001" i="5"/>
  <c r="B2002" i="5"/>
  <c r="B2003" i="5"/>
  <c r="B2004" i="5"/>
  <c r="B2005" i="5"/>
  <c r="B2006" i="5"/>
  <c r="B2007" i="5"/>
  <c r="B2008" i="5"/>
  <c r="B2009" i="5"/>
  <c r="B2010" i="5"/>
  <c r="B2011" i="5"/>
  <c r="B2012" i="5"/>
  <c r="B2013" i="5"/>
  <c r="B2014" i="5"/>
  <c r="B2015" i="5"/>
  <c r="B2016" i="5"/>
  <c r="B2017" i="5"/>
  <c r="B2018" i="5"/>
  <c r="B2019" i="5"/>
  <c r="B2020" i="5"/>
  <c r="B2021" i="5"/>
  <c r="B2022" i="5"/>
  <c r="B2023" i="5"/>
  <c r="B2024" i="5"/>
  <c r="B2025" i="5"/>
  <c r="B2026" i="5"/>
  <c r="B2027" i="5"/>
  <c r="B2028" i="5"/>
  <c r="B2029" i="5"/>
  <c r="B2030" i="5"/>
  <c r="B2031" i="5"/>
  <c r="B2032" i="5"/>
  <c r="B2033" i="5"/>
  <c r="B2034" i="5"/>
  <c r="B2035" i="5"/>
  <c r="B2036" i="5"/>
  <c r="B2037" i="5"/>
  <c r="B2038" i="5"/>
  <c r="B2039" i="5"/>
  <c r="B2040" i="5"/>
  <c r="B2041" i="5"/>
  <c r="B2042" i="5"/>
  <c r="B2043" i="5"/>
  <c r="B2044" i="5"/>
  <c r="B2045" i="5"/>
  <c r="B2046" i="5"/>
  <c r="B2047" i="5"/>
  <c r="B2048" i="5"/>
  <c r="B2049" i="5"/>
  <c r="B2050" i="5"/>
  <c r="B2051" i="5"/>
  <c r="B2052" i="5"/>
  <c r="B2053" i="5"/>
  <c r="B2054" i="5"/>
  <c r="B2055" i="5"/>
  <c r="B2056" i="5"/>
  <c r="B2057" i="5"/>
  <c r="B2058" i="5"/>
  <c r="B2059" i="5"/>
  <c r="B2060" i="5"/>
  <c r="B2061" i="5"/>
  <c r="B2062" i="5"/>
  <c r="B2063" i="5"/>
  <c r="B2064" i="5"/>
  <c r="B2065" i="5"/>
  <c r="B2066" i="5"/>
  <c r="B2067" i="5"/>
  <c r="B2068" i="5"/>
  <c r="B2069" i="5"/>
  <c r="B2070" i="5"/>
  <c r="B2071" i="5"/>
  <c r="B2072" i="5"/>
  <c r="B2073" i="5"/>
  <c r="B2074" i="5"/>
  <c r="B2075" i="5"/>
  <c r="B2076" i="5"/>
  <c r="B2077" i="5"/>
  <c r="B2078" i="5"/>
  <c r="B2079" i="5"/>
  <c r="B2080" i="5"/>
  <c r="B2081" i="5"/>
  <c r="B2082" i="5"/>
  <c r="B2083" i="5"/>
  <c r="B2084" i="5"/>
  <c r="B2085" i="5"/>
  <c r="B2086" i="5"/>
  <c r="B2087" i="5"/>
  <c r="B2088" i="5"/>
  <c r="B2089" i="5"/>
  <c r="B2090" i="5"/>
  <c r="B2091" i="5"/>
  <c r="B2092" i="5"/>
  <c r="B2093" i="5"/>
  <c r="B2094" i="5"/>
  <c r="B2095" i="5"/>
  <c r="B2096" i="5"/>
  <c r="B2097" i="5"/>
  <c r="B2098" i="5"/>
  <c r="B2099" i="5"/>
  <c r="B2100" i="5"/>
  <c r="B2101" i="5"/>
  <c r="B2102" i="5"/>
  <c r="B2103" i="5"/>
  <c r="B2104" i="5"/>
  <c r="B2105" i="5"/>
  <c r="B2106" i="5"/>
  <c r="B2107" i="5"/>
  <c r="B2108" i="5"/>
  <c r="B2109" i="5"/>
  <c r="B2110" i="5"/>
  <c r="B2111" i="5"/>
  <c r="B2112" i="5"/>
  <c r="B2113" i="5"/>
  <c r="B2114" i="5"/>
  <c r="B2115" i="5"/>
  <c r="B2116" i="5"/>
  <c r="B2117" i="5"/>
  <c r="B2118" i="5"/>
  <c r="B2119" i="5"/>
  <c r="B2120" i="5"/>
  <c r="B2121" i="5"/>
  <c r="B2122" i="5"/>
  <c r="B2123" i="5"/>
  <c r="B2124" i="5"/>
  <c r="B2125" i="5"/>
  <c r="B2126" i="5"/>
  <c r="B2127" i="5"/>
  <c r="B2128" i="5"/>
  <c r="B2129" i="5"/>
  <c r="B2130" i="5"/>
  <c r="B2131" i="5"/>
  <c r="B2132" i="5"/>
  <c r="B2133" i="5"/>
  <c r="B2134" i="5"/>
  <c r="B2135" i="5"/>
  <c r="B2136" i="5"/>
  <c r="B2137" i="5"/>
  <c r="B2138" i="5"/>
  <c r="B2139" i="5"/>
  <c r="B2140" i="5"/>
  <c r="B2141" i="5"/>
  <c r="B2142" i="5"/>
  <c r="B2143" i="5"/>
  <c r="B2144" i="5"/>
  <c r="B2145" i="5"/>
  <c r="B2146" i="5"/>
  <c r="B2147" i="5"/>
  <c r="B2148" i="5"/>
  <c r="B2149" i="5"/>
  <c r="B2150" i="5"/>
  <c r="B2151" i="5"/>
  <c r="B2152" i="5"/>
  <c r="B2153" i="5"/>
  <c r="B2154" i="5"/>
  <c r="B2155" i="5"/>
  <c r="B2156" i="5"/>
  <c r="B2157" i="5"/>
  <c r="B2158" i="5"/>
  <c r="B2159" i="5"/>
  <c r="B2160" i="5"/>
  <c r="B2161" i="5"/>
  <c r="B2162" i="5"/>
  <c r="B2163" i="5"/>
  <c r="B2164" i="5"/>
  <c r="B2165" i="5"/>
  <c r="B2166" i="5"/>
  <c r="B2167" i="5"/>
  <c r="B2168" i="5"/>
  <c r="B2169" i="5"/>
  <c r="B2170" i="5"/>
  <c r="B2171" i="5"/>
  <c r="B2172" i="5"/>
  <c r="B2173" i="5"/>
  <c r="B2174" i="5"/>
  <c r="B2175" i="5"/>
  <c r="B2176" i="5"/>
  <c r="B2177" i="5"/>
  <c r="B2178" i="5"/>
  <c r="B2179" i="5"/>
  <c r="B2180" i="5"/>
  <c r="B2181" i="5"/>
  <c r="B2182" i="5"/>
  <c r="B2183" i="5"/>
  <c r="B2184" i="5"/>
  <c r="B2185" i="5"/>
  <c r="B2186" i="5"/>
  <c r="B2187" i="5"/>
  <c r="B2188" i="5"/>
  <c r="B2189" i="5"/>
  <c r="B2190" i="5"/>
  <c r="B2191" i="5"/>
  <c r="B2192" i="5"/>
  <c r="B2193" i="5"/>
  <c r="B2194" i="5"/>
  <c r="B2195" i="5"/>
  <c r="B2196" i="5"/>
  <c r="B2197" i="5"/>
  <c r="B2198" i="5"/>
  <c r="B2199" i="5"/>
  <c r="B2200" i="5"/>
  <c r="B2201" i="5"/>
  <c r="B2202" i="5"/>
  <c r="B2203" i="5"/>
  <c r="B2204" i="5"/>
  <c r="B2205" i="5"/>
  <c r="B2206" i="5"/>
  <c r="B2207" i="5"/>
  <c r="B2208" i="5"/>
  <c r="B2209" i="5"/>
  <c r="B2210" i="5"/>
  <c r="B2211" i="5"/>
  <c r="B2212" i="5"/>
  <c r="B2213" i="5"/>
  <c r="B2214" i="5"/>
  <c r="B2215" i="5"/>
  <c r="B2216" i="5"/>
  <c r="B2217" i="5"/>
  <c r="B2218" i="5"/>
  <c r="B2219" i="5"/>
  <c r="B2220" i="5"/>
  <c r="B2221" i="5"/>
  <c r="B2222" i="5"/>
  <c r="B2223" i="5"/>
  <c r="B2224" i="5"/>
  <c r="B2225" i="5"/>
  <c r="B2226" i="5"/>
  <c r="B2227" i="5"/>
  <c r="B2228" i="5"/>
  <c r="B2229" i="5"/>
  <c r="B2230" i="5"/>
  <c r="B2231" i="5"/>
  <c r="B2232" i="5"/>
  <c r="B2233" i="5"/>
  <c r="B2234" i="5"/>
  <c r="B2235" i="5"/>
  <c r="B2236" i="5"/>
  <c r="B2237" i="5"/>
  <c r="B2238" i="5"/>
  <c r="B2239" i="5"/>
  <c r="B2240" i="5"/>
  <c r="B2241" i="5"/>
  <c r="B2242" i="5"/>
  <c r="B2243" i="5"/>
  <c r="B2244" i="5"/>
  <c r="B2245" i="5"/>
  <c r="B2246" i="5"/>
  <c r="B2247" i="5"/>
  <c r="B2248" i="5"/>
  <c r="B2249" i="5"/>
  <c r="B2250" i="5"/>
  <c r="B2251" i="5"/>
  <c r="B2252" i="5"/>
  <c r="B2253" i="5"/>
  <c r="B2254" i="5"/>
  <c r="B2255" i="5"/>
  <c r="B2256" i="5"/>
  <c r="B2257" i="5"/>
  <c r="B2258" i="5"/>
  <c r="B2259" i="5"/>
  <c r="B2260" i="5"/>
  <c r="B2261" i="5"/>
  <c r="B2262" i="5"/>
  <c r="B2263" i="5"/>
  <c r="B2264" i="5"/>
  <c r="B2265" i="5"/>
  <c r="B2266" i="5"/>
  <c r="B2267" i="5"/>
  <c r="B2268" i="5"/>
  <c r="B2269" i="5"/>
  <c r="B2270" i="5"/>
  <c r="B2271" i="5"/>
  <c r="B2272" i="5"/>
  <c r="B2273" i="5"/>
  <c r="B2274" i="5"/>
  <c r="B2275" i="5"/>
  <c r="B2276" i="5"/>
  <c r="B2277" i="5"/>
  <c r="B2278" i="5"/>
  <c r="B2279" i="5"/>
  <c r="B2280" i="5"/>
  <c r="B2281" i="5"/>
  <c r="B2282" i="5"/>
  <c r="B2283" i="5"/>
  <c r="B2284" i="5"/>
  <c r="B2285" i="5"/>
  <c r="B2286" i="5"/>
  <c r="B2287" i="5"/>
  <c r="B2288" i="5"/>
  <c r="B2289" i="5"/>
  <c r="B2290" i="5"/>
  <c r="B2291" i="5"/>
  <c r="B2292" i="5"/>
  <c r="B2293" i="5"/>
  <c r="B2294" i="5"/>
  <c r="B2295" i="5"/>
  <c r="B2296" i="5"/>
  <c r="B2297" i="5"/>
  <c r="B2298" i="5"/>
  <c r="B2299" i="5"/>
  <c r="B2300" i="5"/>
  <c r="B2301" i="5"/>
  <c r="B2302" i="5"/>
  <c r="B2303" i="5"/>
  <c r="B2304" i="5"/>
  <c r="B2305" i="5"/>
  <c r="B2306" i="5"/>
  <c r="B2307" i="5"/>
  <c r="B2308" i="5"/>
  <c r="B2309" i="5"/>
  <c r="B2310" i="5"/>
  <c r="B2311" i="5"/>
  <c r="B2312" i="5"/>
  <c r="B2313" i="5"/>
  <c r="B2314" i="5"/>
  <c r="B2315" i="5"/>
  <c r="B2316" i="5"/>
  <c r="B2317" i="5"/>
  <c r="B2318" i="5"/>
  <c r="B2319" i="5"/>
  <c r="B2320" i="5"/>
  <c r="B2321" i="5"/>
  <c r="B2322" i="5"/>
  <c r="B2323" i="5"/>
  <c r="B2324" i="5"/>
  <c r="B2325" i="5"/>
  <c r="B2326" i="5"/>
  <c r="B2327" i="5"/>
  <c r="B2328" i="5"/>
  <c r="B2329" i="5"/>
  <c r="B2330" i="5"/>
  <c r="B2331" i="5"/>
  <c r="B2332" i="5"/>
  <c r="B2333" i="5"/>
  <c r="B2334" i="5"/>
  <c r="B2335" i="5"/>
  <c r="B2336" i="5"/>
  <c r="B2337" i="5"/>
  <c r="B2338" i="5"/>
  <c r="B2339" i="5"/>
  <c r="B2340" i="5"/>
  <c r="B2341" i="5"/>
  <c r="B2342" i="5"/>
  <c r="B2343" i="5"/>
  <c r="B2344" i="5"/>
  <c r="B2345" i="5"/>
  <c r="B2346" i="5"/>
  <c r="B2347" i="5"/>
  <c r="B2348" i="5"/>
  <c r="B2349" i="5"/>
  <c r="B2350" i="5"/>
  <c r="B2351" i="5"/>
  <c r="B2352" i="5"/>
  <c r="B2353" i="5"/>
  <c r="B2354" i="5"/>
  <c r="B2355" i="5"/>
  <c r="B2356" i="5"/>
  <c r="B2357" i="5"/>
  <c r="B2358" i="5"/>
  <c r="B2359" i="5"/>
  <c r="B2360" i="5"/>
  <c r="B2361" i="5"/>
  <c r="B2362" i="5"/>
  <c r="B2363" i="5"/>
  <c r="B2364" i="5"/>
  <c r="B2365" i="5"/>
  <c r="B2366" i="5"/>
  <c r="B2367" i="5"/>
  <c r="B2368" i="5"/>
  <c r="B2369" i="5"/>
  <c r="B2370" i="5"/>
  <c r="B2371" i="5"/>
  <c r="B2372" i="5"/>
  <c r="B2373" i="5"/>
  <c r="B2374" i="5"/>
  <c r="B2375" i="5"/>
  <c r="B2376" i="5"/>
  <c r="B2377" i="5"/>
  <c r="B2378" i="5"/>
  <c r="B2379" i="5"/>
  <c r="B2380" i="5"/>
  <c r="B2381" i="5"/>
  <c r="B2382" i="5"/>
  <c r="B2383" i="5"/>
  <c r="B2384" i="5"/>
  <c r="B2385" i="5"/>
  <c r="B2386" i="5"/>
  <c r="B2387" i="5"/>
  <c r="B2388" i="5"/>
  <c r="B2389" i="5"/>
  <c r="B2390" i="5"/>
  <c r="B2391" i="5"/>
  <c r="B2392" i="5"/>
  <c r="B2393" i="5"/>
  <c r="B2394" i="5"/>
  <c r="B2395" i="5"/>
  <c r="B2396" i="5"/>
  <c r="B2397" i="5"/>
  <c r="B2398" i="5"/>
  <c r="B2399" i="5"/>
  <c r="B2400" i="5"/>
  <c r="B2401" i="5"/>
  <c r="B2402" i="5"/>
  <c r="B2403" i="5"/>
  <c r="B2404" i="5"/>
  <c r="B2405" i="5"/>
  <c r="B2406" i="5"/>
  <c r="B2407" i="5"/>
  <c r="B2408" i="5"/>
  <c r="B2409" i="5"/>
  <c r="B2410" i="5"/>
  <c r="B2411" i="5"/>
  <c r="B2412" i="5"/>
  <c r="B2413" i="5"/>
  <c r="B2414" i="5"/>
  <c r="B2415" i="5"/>
  <c r="B2416" i="5"/>
  <c r="B2417" i="5"/>
  <c r="B2418" i="5"/>
  <c r="B2419" i="5"/>
  <c r="B2420" i="5"/>
  <c r="B2421" i="5"/>
  <c r="B2422" i="5"/>
  <c r="B2423" i="5"/>
  <c r="B2424" i="5"/>
  <c r="B2425" i="5"/>
  <c r="B2426" i="5"/>
  <c r="B2427" i="5"/>
  <c r="B2428" i="5"/>
  <c r="B2429" i="5"/>
  <c r="B2430" i="5"/>
  <c r="B2431" i="5"/>
  <c r="B2432" i="5"/>
  <c r="B2433" i="5"/>
  <c r="B2434" i="5"/>
  <c r="B2435" i="5"/>
  <c r="B2436" i="5"/>
  <c r="B2437" i="5"/>
  <c r="B2438" i="5"/>
  <c r="B2439" i="5"/>
  <c r="B2440" i="5"/>
  <c r="B2441" i="5"/>
  <c r="B2442" i="5"/>
  <c r="B2443" i="5"/>
  <c r="B2444" i="5"/>
  <c r="B2445" i="5"/>
  <c r="B2446" i="5"/>
  <c r="B2447" i="5"/>
  <c r="B2448" i="5"/>
  <c r="B2449" i="5"/>
  <c r="B2450" i="5"/>
  <c r="B2451" i="5"/>
  <c r="B2452" i="5"/>
  <c r="B2453" i="5"/>
  <c r="B2454" i="5"/>
  <c r="B2455" i="5"/>
  <c r="B2456" i="5"/>
  <c r="B2457" i="5"/>
  <c r="B2458" i="5"/>
  <c r="B2459" i="5"/>
  <c r="B2460" i="5"/>
  <c r="B2461" i="5"/>
  <c r="B2462" i="5"/>
  <c r="B2463" i="5"/>
  <c r="B2464" i="5"/>
  <c r="B2465" i="5"/>
  <c r="B2466" i="5"/>
  <c r="B2467" i="5"/>
  <c r="B2468" i="5"/>
  <c r="B2469" i="5"/>
  <c r="B2470" i="5"/>
  <c r="B2471" i="5"/>
  <c r="B2472" i="5"/>
  <c r="B2473" i="5"/>
  <c r="B2474" i="5"/>
  <c r="B2475" i="5"/>
  <c r="B2476" i="5"/>
  <c r="B2477" i="5"/>
  <c r="B2478" i="5"/>
  <c r="B2479" i="5"/>
  <c r="B2480" i="5"/>
  <c r="B2481" i="5"/>
  <c r="B2482" i="5"/>
  <c r="B2483" i="5"/>
  <c r="B2484" i="5"/>
  <c r="B2485" i="5"/>
  <c r="B2486" i="5"/>
  <c r="B2487" i="5"/>
  <c r="B2488" i="5"/>
  <c r="B2489" i="5"/>
  <c r="B2490" i="5"/>
  <c r="B2491" i="5"/>
  <c r="B2492" i="5"/>
  <c r="B2493" i="5"/>
  <c r="B2494" i="5"/>
  <c r="B2495" i="5"/>
  <c r="B2496" i="5"/>
  <c r="B2497" i="5"/>
  <c r="B2498" i="5"/>
  <c r="B2499" i="5"/>
  <c r="B2500" i="5"/>
  <c r="B2501" i="5"/>
  <c r="B2502" i="5"/>
  <c r="B2503" i="5"/>
  <c r="B2504" i="5"/>
  <c r="B2505" i="5"/>
  <c r="B2506" i="5"/>
  <c r="B2507" i="5"/>
  <c r="B2508" i="5"/>
  <c r="B2509" i="5"/>
  <c r="B2510" i="5"/>
  <c r="B2511" i="5"/>
  <c r="B2512" i="5"/>
  <c r="B2513" i="5"/>
  <c r="B2514" i="5"/>
  <c r="B2515" i="5"/>
  <c r="B2516" i="5"/>
  <c r="B2517" i="5"/>
  <c r="B2518" i="5"/>
  <c r="B2519" i="5"/>
  <c r="B2520" i="5"/>
  <c r="B2521" i="5"/>
  <c r="B2522" i="5"/>
  <c r="B2523" i="5"/>
  <c r="B2524" i="5"/>
  <c r="B2525" i="5"/>
  <c r="B2526" i="5"/>
  <c r="B2527" i="5"/>
  <c r="B2528" i="5"/>
  <c r="B2529" i="5"/>
  <c r="B2530" i="5"/>
  <c r="B2531" i="5"/>
  <c r="B2532" i="5"/>
  <c r="B2533" i="5"/>
  <c r="B2534" i="5"/>
  <c r="B2535" i="5"/>
  <c r="B2536" i="5"/>
  <c r="B2537" i="5"/>
  <c r="B2538" i="5"/>
  <c r="B2539" i="5"/>
  <c r="B2540" i="5"/>
  <c r="B2541" i="5"/>
  <c r="B2542" i="5"/>
  <c r="B2543" i="5"/>
  <c r="B2544" i="5"/>
  <c r="B2545" i="5"/>
  <c r="B2546" i="5"/>
  <c r="B2547" i="5"/>
  <c r="B2548" i="5"/>
  <c r="B2549" i="5"/>
  <c r="B2550" i="5"/>
  <c r="B2551" i="5"/>
  <c r="B2552" i="5"/>
  <c r="B2553" i="5"/>
  <c r="B2554" i="5"/>
  <c r="B2555" i="5"/>
  <c r="B2556" i="5"/>
  <c r="B2557" i="5"/>
  <c r="B2558" i="5"/>
  <c r="B2559" i="5"/>
  <c r="B2560" i="5"/>
  <c r="B2561" i="5"/>
  <c r="B2562" i="5"/>
  <c r="B2563" i="5"/>
  <c r="B2564" i="5"/>
  <c r="B2565" i="5"/>
  <c r="B2566" i="5"/>
  <c r="B2567" i="5"/>
  <c r="B2568" i="5"/>
  <c r="B2569" i="5"/>
  <c r="B2570" i="5"/>
  <c r="B2571" i="5"/>
  <c r="B2572" i="5"/>
  <c r="B2573" i="5"/>
  <c r="B2574" i="5"/>
  <c r="B2575" i="5"/>
  <c r="B2576" i="5"/>
  <c r="B2577" i="5"/>
  <c r="B2578" i="5"/>
  <c r="B2579" i="5"/>
  <c r="B2580" i="5"/>
  <c r="B2581" i="5"/>
  <c r="B2582" i="5"/>
  <c r="B2583" i="5"/>
  <c r="B2584" i="5"/>
  <c r="B2585" i="5"/>
  <c r="B2586" i="5"/>
  <c r="B2587" i="5"/>
  <c r="B2588" i="5"/>
  <c r="B2589" i="5"/>
  <c r="B2590" i="5"/>
  <c r="B2591" i="5"/>
  <c r="B2592" i="5"/>
  <c r="B2593" i="5"/>
  <c r="B2594" i="5"/>
  <c r="B2595" i="5"/>
  <c r="B2596" i="5"/>
  <c r="B2597" i="5"/>
  <c r="B2598" i="5"/>
  <c r="B2599" i="5"/>
  <c r="B2600" i="5"/>
  <c r="B2601" i="5"/>
  <c r="B2602" i="5"/>
  <c r="B2603" i="5"/>
  <c r="B2604" i="5"/>
  <c r="B2605" i="5"/>
  <c r="B2606" i="5"/>
  <c r="B2607" i="5"/>
  <c r="B2608" i="5"/>
  <c r="B2609" i="5"/>
  <c r="B2610" i="5"/>
  <c r="B2611" i="5"/>
  <c r="B2612" i="5"/>
  <c r="B2613" i="5"/>
  <c r="B2614" i="5"/>
  <c r="B2615" i="5"/>
  <c r="B2616" i="5"/>
  <c r="B2617" i="5"/>
  <c r="B2618" i="5"/>
  <c r="B2619" i="5"/>
  <c r="B2620" i="5"/>
  <c r="B2621" i="5"/>
  <c r="B2622" i="5"/>
  <c r="B2623" i="5"/>
  <c r="B2624" i="5"/>
  <c r="B2625" i="5"/>
  <c r="B2626" i="5"/>
  <c r="B2627" i="5"/>
  <c r="B2628" i="5"/>
  <c r="B2629" i="5"/>
  <c r="B2630" i="5"/>
  <c r="B2631" i="5"/>
  <c r="B2632" i="5"/>
  <c r="B2633" i="5"/>
  <c r="B2634" i="5"/>
  <c r="B2635" i="5"/>
  <c r="B2636" i="5"/>
  <c r="B2637" i="5"/>
  <c r="B2638" i="5"/>
  <c r="B2639" i="5"/>
  <c r="B2640" i="5"/>
  <c r="B2641" i="5"/>
  <c r="B2642" i="5"/>
  <c r="B2643" i="5"/>
  <c r="B2644" i="5"/>
  <c r="B2645" i="5"/>
  <c r="B2646" i="5"/>
  <c r="B2647" i="5"/>
  <c r="B2648" i="5"/>
  <c r="B2649" i="5"/>
  <c r="B2650" i="5"/>
  <c r="B2651" i="5"/>
  <c r="B2652" i="5"/>
  <c r="B2653" i="5"/>
  <c r="B2654" i="5"/>
  <c r="B2655" i="5"/>
  <c r="B2656" i="5"/>
  <c r="B2657" i="5"/>
  <c r="B2658" i="5"/>
  <c r="B2659" i="5"/>
  <c r="B2660" i="5"/>
  <c r="B2661" i="5"/>
  <c r="B2662" i="5"/>
  <c r="B2663" i="5"/>
  <c r="B2664" i="5"/>
  <c r="B2665" i="5"/>
  <c r="B2666" i="5"/>
  <c r="B2667" i="5"/>
  <c r="B2668" i="5"/>
  <c r="B2669" i="5"/>
  <c r="B2670" i="5"/>
  <c r="B2671" i="5"/>
  <c r="B2672" i="5"/>
  <c r="B2673" i="5"/>
  <c r="B2674" i="5"/>
  <c r="B2675" i="5"/>
  <c r="B2676" i="5"/>
  <c r="B2677" i="5"/>
  <c r="B2678" i="5"/>
  <c r="B2679" i="5"/>
  <c r="B2680" i="5"/>
  <c r="B2681" i="5"/>
  <c r="B2682" i="5"/>
  <c r="B2683" i="5"/>
  <c r="B2684" i="5"/>
  <c r="B2685" i="5"/>
  <c r="B2686" i="5"/>
  <c r="B2687" i="5"/>
  <c r="B2688" i="5"/>
  <c r="B2689" i="5"/>
  <c r="B2690" i="5"/>
  <c r="B2691" i="5"/>
  <c r="B2692" i="5"/>
  <c r="B2693" i="5"/>
  <c r="B2694" i="5"/>
  <c r="B2695" i="5"/>
  <c r="B2696" i="5"/>
  <c r="B2697" i="5"/>
  <c r="B2698" i="5"/>
  <c r="B2699" i="5"/>
  <c r="B2700" i="5"/>
  <c r="B2701" i="5"/>
  <c r="B2702" i="5"/>
  <c r="B2703" i="5"/>
  <c r="B2704" i="5"/>
  <c r="B2705" i="5"/>
  <c r="B2706" i="5"/>
  <c r="B2707" i="5"/>
  <c r="B2708" i="5"/>
  <c r="B2709" i="5"/>
  <c r="B2710" i="5"/>
  <c r="B2711" i="5"/>
  <c r="B2712" i="5"/>
  <c r="B2713" i="5"/>
  <c r="B2714" i="5"/>
  <c r="B2715" i="5"/>
  <c r="B2716" i="5"/>
  <c r="B2717" i="5"/>
  <c r="B2718" i="5"/>
  <c r="B2719" i="5"/>
  <c r="B2720" i="5"/>
  <c r="B2721" i="5"/>
  <c r="B2722" i="5"/>
  <c r="B2723" i="5"/>
  <c r="B2724" i="5"/>
  <c r="B2725" i="5"/>
  <c r="B2726" i="5"/>
  <c r="B2727" i="5"/>
  <c r="B2728" i="5"/>
  <c r="B2729" i="5"/>
  <c r="B2730" i="5"/>
  <c r="B2731" i="5"/>
  <c r="B2732" i="5"/>
  <c r="B2733" i="5"/>
  <c r="B2734" i="5"/>
  <c r="B2735" i="5"/>
  <c r="B2736" i="5"/>
  <c r="B2737" i="5"/>
  <c r="B2738" i="5"/>
  <c r="B2739" i="5"/>
  <c r="B2740" i="5"/>
  <c r="B2741" i="5"/>
  <c r="B2742" i="5"/>
  <c r="B2743" i="5"/>
  <c r="B2744" i="5"/>
  <c r="B2745" i="5"/>
  <c r="B2746" i="5"/>
  <c r="B2747" i="5"/>
  <c r="B2748" i="5"/>
  <c r="B2749" i="5"/>
  <c r="B2750" i="5"/>
  <c r="B2751" i="5"/>
  <c r="B2752" i="5"/>
  <c r="B2753" i="5"/>
  <c r="B2754" i="5"/>
  <c r="B2755" i="5"/>
  <c r="B2756" i="5"/>
  <c r="B2757" i="5"/>
  <c r="B2758" i="5"/>
  <c r="B2" i="5"/>
  <c r="C112" i="6" l="1"/>
  <c r="C113" i="6" s="1"/>
  <c r="C124" i="6"/>
  <c r="D112" i="6"/>
  <c r="B3" i="6"/>
  <c r="E3" i="6" s="1"/>
  <c r="F3" i="6" s="1"/>
  <c r="C114" i="6" l="1"/>
  <c r="D113" i="6"/>
  <c r="C125" i="6"/>
  <c r="B4" i="6"/>
  <c r="C115" i="6" l="1"/>
  <c r="C126" i="6"/>
  <c r="C127" i="6" s="1"/>
  <c r="D114" i="6"/>
  <c r="B5" i="6"/>
  <c r="E5" i="6" s="1"/>
  <c r="F5" i="6" s="1"/>
  <c r="C128" i="6" l="1"/>
  <c r="C129" i="6"/>
  <c r="C116" i="6"/>
  <c r="C117" i="6"/>
  <c r="C118" i="6" s="1"/>
  <c r="D115" i="6"/>
  <c r="D116" i="6"/>
  <c r="D117" i="6"/>
  <c r="D118" i="6" s="1"/>
  <c r="B6" i="6"/>
  <c r="E6" i="6" s="1"/>
  <c r="F6" i="6" s="1"/>
  <c r="C130" i="6" l="1"/>
  <c r="C131" i="6" s="1"/>
  <c r="C132" i="6" s="1"/>
  <c r="C133" i="6" s="1"/>
  <c r="C119" i="6"/>
  <c r="C120" i="6" s="1"/>
  <c r="D119" i="6"/>
  <c r="B7" i="6"/>
  <c r="E7" i="6" s="1"/>
  <c r="F7" i="6" s="1"/>
  <c r="D120" i="6" l="1"/>
  <c r="B8" i="6"/>
  <c r="E8" i="6" s="1"/>
  <c r="F8" i="6" s="1"/>
  <c r="D132" i="6" l="1"/>
  <c r="D133" i="6" s="1"/>
  <c r="B9" i="6"/>
  <c r="E9" i="6" s="1"/>
  <c r="F9" i="6" s="1"/>
  <c r="B10" i="6" l="1"/>
  <c r="E10" i="6" s="1"/>
  <c r="F10" i="6" s="1"/>
  <c r="B11" i="6" l="1"/>
  <c r="E11" i="6" s="1"/>
  <c r="F11" i="6" s="1"/>
  <c r="B12" i="6" l="1"/>
  <c r="E12" i="6" s="1"/>
  <c r="F12" i="6" s="1"/>
  <c r="B13" i="6" l="1"/>
  <c r="E13" i="6" s="1"/>
  <c r="F13" i="6" s="1"/>
  <c r="B14" i="6" l="1"/>
  <c r="E14" i="6" s="1"/>
  <c r="F14" i="6" s="1"/>
  <c r="M5" i="3"/>
  <c r="M58" i="3"/>
  <c r="M249" i="3"/>
  <c r="M34" i="3"/>
  <c r="M46" i="3"/>
  <c r="M47" i="3"/>
  <c r="M59" i="3"/>
  <c r="G5" i="9" s="1"/>
  <c r="M60" i="3"/>
  <c r="M61" i="3"/>
  <c r="M62" i="3"/>
  <c r="M63" i="3"/>
  <c r="M64" i="3"/>
  <c r="M65" i="3"/>
  <c r="M66" i="3"/>
  <c r="M67" i="3"/>
  <c r="M68" i="3"/>
  <c r="M69" i="3"/>
  <c r="M70" i="3"/>
  <c r="M74" i="3"/>
  <c r="M75" i="3"/>
  <c r="M76" i="3"/>
  <c r="M77" i="3"/>
  <c r="M78" i="3"/>
  <c r="M79" i="3"/>
  <c r="M80" i="3"/>
  <c r="M107" i="3"/>
  <c r="M108" i="3"/>
  <c r="M118" i="3"/>
  <c r="M121" i="3"/>
  <c r="M122" i="3"/>
  <c r="M126" i="3"/>
  <c r="M127" i="3"/>
  <c r="M128" i="3"/>
  <c r="M129" i="3"/>
  <c r="M137" i="3"/>
  <c r="M138" i="3"/>
  <c r="M139" i="3"/>
  <c r="M142" i="3"/>
  <c r="M143" i="3"/>
  <c r="M144" i="3"/>
  <c r="M145" i="3"/>
  <c r="M146" i="3"/>
  <c r="M147" i="3"/>
  <c r="M150" i="3"/>
  <c r="M115" i="3"/>
  <c r="M116" i="3"/>
  <c r="M117" i="3"/>
  <c r="M151" i="3"/>
  <c r="M158" i="3"/>
  <c r="M159" i="3"/>
  <c r="M172" i="3"/>
  <c r="M173" i="3"/>
  <c r="M174" i="3"/>
  <c r="M175" i="3"/>
  <c r="M160" i="3"/>
  <c r="M161" i="3"/>
  <c r="M162" i="3"/>
  <c r="M163" i="3"/>
  <c r="M164" i="3"/>
  <c r="M165" i="3"/>
  <c r="M171" i="3"/>
  <c r="M178" i="3"/>
  <c r="M179" i="3"/>
  <c r="M190" i="3"/>
  <c r="M212" i="3"/>
  <c r="M222" i="3"/>
  <c r="M250" i="3"/>
  <c r="M251" i="3"/>
  <c r="M252" i="3"/>
  <c r="M253" i="3"/>
  <c r="M254" i="3"/>
  <c r="M255" i="3"/>
  <c r="M256" i="3"/>
  <c r="M290" i="3"/>
  <c r="M291" i="3"/>
  <c r="M292" i="3"/>
  <c r="M293" i="3"/>
  <c r="M294" i="3"/>
  <c r="M297" i="3"/>
  <c r="M298" i="3"/>
  <c r="M299" i="3"/>
  <c r="M300" i="3"/>
  <c r="M301" i="3"/>
  <c r="M362" i="3"/>
  <c r="M363" i="3"/>
  <c r="M302" i="3"/>
  <c r="M303" i="3"/>
  <c r="M304" i="3"/>
  <c r="M305" i="3"/>
  <c r="M306" i="3"/>
  <c r="M307" i="3"/>
  <c r="M308" i="3"/>
  <c r="M309" i="3"/>
  <c r="M310" i="3"/>
  <c r="M314" i="3"/>
  <c r="M315" i="3"/>
  <c r="M360" i="3"/>
  <c r="M361" i="3"/>
  <c r="M364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405" i="3"/>
  <c r="M420" i="3"/>
  <c r="M421" i="3"/>
  <c r="M422" i="3"/>
  <c r="M423" i="3"/>
  <c r="M424" i="3"/>
  <c r="M444" i="3"/>
  <c r="M445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6" i="3"/>
  <c r="M480" i="3"/>
  <c r="M481" i="3"/>
  <c r="M482" i="3"/>
  <c r="M486" i="3"/>
  <c r="M490" i="3"/>
  <c r="M491" i="3"/>
  <c r="M492" i="3"/>
  <c r="M493" i="3"/>
  <c r="M500" i="3"/>
  <c r="M501" i="3"/>
  <c r="M514" i="3"/>
  <c r="K3" i="3"/>
  <c r="M3" i="3" s="1"/>
  <c r="G11" i="9" s="1"/>
  <c r="I11" i="9" s="1"/>
  <c r="P5" i="3"/>
  <c r="P58" i="3"/>
  <c r="P249" i="3"/>
  <c r="P34" i="3"/>
  <c r="P46" i="3"/>
  <c r="P47" i="3"/>
  <c r="P59" i="3"/>
  <c r="P60" i="3"/>
  <c r="P61" i="3"/>
  <c r="P62" i="3"/>
  <c r="P63" i="3"/>
  <c r="P64" i="3"/>
  <c r="P65" i="3"/>
  <c r="P66" i="3"/>
  <c r="P67" i="3"/>
  <c r="P68" i="3"/>
  <c r="P69" i="3"/>
  <c r="P70" i="3"/>
  <c r="P74" i="3"/>
  <c r="P75" i="3"/>
  <c r="P76" i="3"/>
  <c r="P77" i="3"/>
  <c r="P78" i="3"/>
  <c r="P79" i="3"/>
  <c r="P80" i="3"/>
  <c r="P107" i="3"/>
  <c r="P108" i="3"/>
  <c r="P118" i="3"/>
  <c r="P121" i="3"/>
  <c r="P122" i="3"/>
  <c r="P126" i="3"/>
  <c r="P127" i="3"/>
  <c r="P128" i="3"/>
  <c r="P129" i="3"/>
  <c r="P137" i="3"/>
  <c r="P138" i="3"/>
  <c r="P139" i="3"/>
  <c r="P142" i="3"/>
  <c r="P143" i="3"/>
  <c r="P144" i="3"/>
  <c r="P145" i="3"/>
  <c r="P146" i="3"/>
  <c r="P147" i="3"/>
  <c r="P150" i="3"/>
  <c r="P115" i="3"/>
  <c r="P116" i="3"/>
  <c r="P117" i="3"/>
  <c r="P151" i="3"/>
  <c r="P158" i="3"/>
  <c r="P159" i="3"/>
  <c r="P172" i="3"/>
  <c r="P173" i="3"/>
  <c r="P174" i="3"/>
  <c r="P175" i="3"/>
  <c r="P160" i="3"/>
  <c r="P161" i="3"/>
  <c r="P162" i="3"/>
  <c r="P163" i="3"/>
  <c r="P164" i="3"/>
  <c r="P165" i="3"/>
  <c r="P171" i="3"/>
  <c r="P178" i="3"/>
  <c r="P179" i="3"/>
  <c r="P190" i="3"/>
  <c r="P212" i="3"/>
  <c r="P222" i="3"/>
  <c r="P250" i="3"/>
  <c r="P251" i="3"/>
  <c r="P252" i="3"/>
  <c r="P253" i="3"/>
  <c r="P254" i="3"/>
  <c r="P255" i="3"/>
  <c r="P256" i="3"/>
  <c r="P290" i="3"/>
  <c r="P291" i="3"/>
  <c r="P292" i="3"/>
  <c r="P293" i="3"/>
  <c r="P294" i="3"/>
  <c r="P297" i="3"/>
  <c r="P298" i="3"/>
  <c r="P299" i="3"/>
  <c r="P300" i="3"/>
  <c r="P301" i="3"/>
  <c r="P362" i="3"/>
  <c r="P363" i="3"/>
  <c r="P302" i="3"/>
  <c r="P303" i="3"/>
  <c r="P304" i="3"/>
  <c r="P305" i="3"/>
  <c r="P306" i="3"/>
  <c r="P307" i="3"/>
  <c r="P308" i="3"/>
  <c r="P309" i="3"/>
  <c r="P310" i="3"/>
  <c r="P314" i="3"/>
  <c r="P315" i="3"/>
  <c r="P360" i="3"/>
  <c r="P361" i="3"/>
  <c r="P364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405" i="3"/>
  <c r="P420" i="3"/>
  <c r="P421" i="3"/>
  <c r="P422" i="3"/>
  <c r="P423" i="3"/>
  <c r="P424" i="3"/>
  <c r="P444" i="3"/>
  <c r="P445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6" i="3"/>
  <c r="P480" i="3"/>
  <c r="P481" i="3"/>
  <c r="P482" i="3"/>
  <c r="P486" i="3"/>
  <c r="P490" i="3"/>
  <c r="P491" i="3"/>
  <c r="P492" i="3"/>
  <c r="P493" i="3"/>
  <c r="P500" i="3"/>
  <c r="P501" i="3"/>
  <c r="P514" i="3"/>
  <c r="O3" i="3" a="1"/>
  <c r="O3" i="3" s="1"/>
  <c r="P3" i="3" s="1"/>
  <c r="C1" i="4"/>
  <c r="D1" i="4" s="1"/>
  <c r="E1" i="4" s="1"/>
  <c r="F1" i="4" s="1"/>
  <c r="G1" i="4" s="1"/>
  <c r="H1" i="4" s="1"/>
  <c r="I1" i="4" s="1"/>
  <c r="J1" i="4" s="1"/>
  <c r="K1" i="4" s="1"/>
  <c r="L1" i="4" s="1"/>
  <c r="G7" i="9" l="1"/>
  <c r="I7" i="9" s="1"/>
  <c r="I5" i="9"/>
  <c r="G15" i="9"/>
  <c r="I15" i="9" s="1"/>
  <c r="G13" i="9"/>
  <c r="I13" i="9" s="1"/>
  <c r="G12" i="9"/>
  <c r="I12" i="9" s="1"/>
  <c r="G10" i="9"/>
  <c r="I10" i="9" s="1"/>
  <c r="G14" i="9"/>
  <c r="I14" i="9" s="1"/>
  <c r="G8" i="9"/>
  <c r="I8" i="9" s="1"/>
  <c r="G6" i="9"/>
  <c r="I6" i="9" s="1"/>
  <c r="B15" i="6"/>
  <c r="E15" i="6" s="1"/>
  <c r="F15" i="6" s="1"/>
  <c r="I16" i="9" l="1"/>
  <c r="G16" i="9"/>
  <c r="B16" i="6"/>
  <c r="E16" i="6" s="1"/>
  <c r="F16" i="6" s="1"/>
  <c r="B17" i="6" l="1"/>
  <c r="E17" i="6" s="1"/>
  <c r="F17" i="6" s="1"/>
  <c r="B18" i="6" l="1"/>
  <c r="E18" i="6" s="1"/>
  <c r="F18" i="6" s="1"/>
  <c r="B19" i="6" l="1"/>
  <c r="E19" i="6" s="1"/>
  <c r="F19" i="6" s="1"/>
  <c r="B20" i="6" l="1"/>
  <c r="E20" i="6" s="1"/>
  <c r="F20" i="6" s="1"/>
  <c r="B21" i="6" l="1"/>
  <c r="E21" i="6" s="1"/>
  <c r="F21" i="6" s="1"/>
  <c r="B22" i="6" l="1"/>
  <c r="E22" i="6" s="1"/>
  <c r="F22" i="6" s="1"/>
  <c r="B23" i="6" l="1"/>
  <c r="E23" i="6" s="1"/>
  <c r="F23" i="6" s="1"/>
  <c r="B24" i="6" l="1"/>
  <c r="E24" i="6" s="1"/>
  <c r="F24" i="6" s="1"/>
  <c r="B25" i="6" l="1"/>
  <c r="E25" i="6" s="1"/>
  <c r="F25" i="6" s="1"/>
  <c r="B26" i="6" l="1"/>
  <c r="E26" i="6" s="1"/>
  <c r="F26" i="6" s="1"/>
  <c r="B27" i="6" l="1"/>
  <c r="E27" i="6" s="1"/>
  <c r="F27" i="6" s="1"/>
  <c r="B28" i="6" l="1"/>
  <c r="E28" i="6" s="1"/>
  <c r="F28" i="6" s="1"/>
  <c r="B29" i="6" l="1"/>
  <c r="E29" i="6" s="1"/>
  <c r="F29" i="6" s="1"/>
  <c r="B30" i="6" l="1"/>
  <c r="E30" i="6" s="1"/>
  <c r="F30" i="6" s="1"/>
  <c r="B31" i="6" l="1"/>
  <c r="E31" i="6" s="1"/>
  <c r="F31" i="6" s="1"/>
  <c r="B32" i="6" l="1"/>
  <c r="E32" i="6" s="1"/>
  <c r="F32" i="6" s="1"/>
  <c r="B33" i="6" l="1"/>
  <c r="E33" i="6" s="1"/>
  <c r="F33" i="6" s="1"/>
  <c r="B34" i="6" l="1"/>
  <c r="E34" i="6" s="1"/>
  <c r="F34" i="6" s="1"/>
  <c r="B35" i="6" l="1"/>
  <c r="E35" i="6" s="1"/>
  <c r="F35" i="6" s="1"/>
  <c r="B36" i="6" l="1"/>
  <c r="E36" i="6" s="1"/>
  <c r="F36" i="6" s="1"/>
  <c r="B37" i="6" l="1"/>
  <c r="E37" i="6" s="1"/>
  <c r="F37" i="6" s="1"/>
  <c r="B38" i="6" l="1"/>
  <c r="E38" i="6" s="1"/>
  <c r="F38" i="6" s="1"/>
  <c r="B39" i="6" l="1"/>
  <c r="E39" i="6" s="1"/>
  <c r="F39" i="6" s="1"/>
  <c r="B40" i="6" l="1"/>
  <c r="E40" i="6" s="1"/>
  <c r="F40" i="6" s="1"/>
  <c r="B41" i="6" l="1"/>
  <c r="E41" i="6" s="1"/>
  <c r="F41" i="6" s="1"/>
  <c r="B42" i="6" l="1"/>
  <c r="E42" i="6" s="1"/>
  <c r="F42" i="6" s="1"/>
  <c r="B43" i="6" l="1"/>
  <c r="E43" i="6" s="1"/>
  <c r="F43" i="6" s="1"/>
  <c r="B44" i="6" l="1"/>
  <c r="E44" i="6" s="1"/>
  <c r="F44" i="6" s="1"/>
  <c r="B45" i="6" l="1"/>
  <c r="E45" i="6" s="1"/>
  <c r="F45" i="6" s="1"/>
  <c r="B46" i="6" l="1"/>
  <c r="E46" i="6" s="1"/>
  <c r="F46" i="6" s="1"/>
  <c r="B47" i="6" l="1"/>
  <c r="E47" i="6" s="1"/>
  <c r="F47" i="6" s="1"/>
  <c r="B48" i="6" l="1"/>
  <c r="E48" i="6" s="1"/>
  <c r="F48" i="6" s="1"/>
  <c r="B49" i="6" l="1"/>
  <c r="E49" i="6" s="1"/>
  <c r="F49" i="6" s="1"/>
  <c r="B50" i="6" l="1"/>
  <c r="E50" i="6" s="1"/>
  <c r="F50" i="6" s="1"/>
  <c r="B51" i="6" l="1"/>
  <c r="E51" i="6" s="1"/>
  <c r="F51" i="6" s="1"/>
  <c r="B52" i="6" l="1"/>
  <c r="E52" i="6" s="1"/>
  <c r="F52" i="6" s="1"/>
  <c r="B53" i="6" l="1"/>
  <c r="E53" i="6" s="1"/>
  <c r="F53" i="6" s="1"/>
  <c r="B54" i="6" l="1"/>
  <c r="E54" i="6" s="1"/>
  <c r="F54" i="6" s="1"/>
  <c r="B55" i="6" l="1"/>
  <c r="E55" i="6" s="1"/>
  <c r="F55" i="6" s="1"/>
  <c r="B56" i="6" l="1"/>
  <c r="E56" i="6" s="1"/>
  <c r="F56" i="6" s="1"/>
  <c r="B57" i="6" l="1"/>
  <c r="E57" i="6" s="1"/>
  <c r="F57" i="6" s="1"/>
  <c r="B58" i="6" l="1"/>
  <c r="E58" i="6" s="1"/>
  <c r="F58" i="6" s="1"/>
  <c r="B59" i="6" l="1"/>
  <c r="E59" i="6" s="1"/>
  <c r="F59" i="6" s="1"/>
  <c r="B60" i="6" l="1"/>
  <c r="E60" i="6" s="1"/>
  <c r="F60" i="6" s="1"/>
  <c r="B61" i="6" l="1"/>
  <c r="E61" i="6" s="1"/>
  <c r="F61" i="6" s="1"/>
  <c r="B62" i="6" l="1"/>
  <c r="E62" i="6" s="1"/>
  <c r="F62" i="6" s="1"/>
  <c r="B63" i="6" l="1"/>
  <c r="E63" i="6" s="1"/>
  <c r="F63" i="6" s="1"/>
  <c r="B64" i="6" l="1"/>
  <c r="E64" i="6" s="1"/>
  <c r="F64" i="6" s="1"/>
  <c r="B65" i="6" l="1"/>
  <c r="E65" i="6" s="1"/>
  <c r="F65" i="6" s="1"/>
  <c r="B66" i="6" l="1"/>
  <c r="E66" i="6" s="1"/>
  <c r="F66" i="6" s="1"/>
  <c r="B67" i="6" l="1"/>
  <c r="E67" i="6" s="1"/>
  <c r="F67" i="6" s="1"/>
  <c r="B68" i="6" l="1"/>
  <c r="E68" i="6" s="1"/>
  <c r="F68" i="6" s="1"/>
  <c r="B69" i="6" l="1"/>
  <c r="E69" i="6" s="1"/>
  <c r="F69" i="6" s="1"/>
  <c r="B70" i="6" l="1"/>
  <c r="E70" i="6" s="1"/>
  <c r="F70" i="6" s="1"/>
  <c r="B71" i="6" l="1"/>
  <c r="E71" i="6" s="1"/>
  <c r="F71" i="6" s="1"/>
  <c r="B72" i="6" l="1"/>
  <c r="E72" i="6" s="1"/>
  <c r="F72" i="6" s="1"/>
  <c r="B73" i="6" l="1"/>
  <c r="E73" i="6" s="1"/>
  <c r="F73" i="6" s="1"/>
  <c r="B74" i="6" l="1"/>
  <c r="E74" i="6" s="1"/>
  <c r="F74" i="6" s="1"/>
  <c r="B75" i="6" l="1"/>
  <c r="E75" i="6" s="1"/>
  <c r="F75" i="6" s="1"/>
  <c r="B76" i="6" l="1"/>
  <c r="E76" i="6" s="1"/>
  <c r="F76" i="6" s="1"/>
  <c r="B77" i="6" l="1"/>
  <c r="E77" i="6" s="1"/>
  <c r="F77" i="6" s="1"/>
  <c r="B78" i="6" l="1"/>
  <c r="E78" i="6" s="1"/>
  <c r="F78" i="6" s="1"/>
  <c r="B79" i="6" l="1"/>
  <c r="E79" i="6" s="1"/>
  <c r="F79" i="6" s="1"/>
  <c r="B80" i="6" l="1"/>
  <c r="E80" i="6" s="1"/>
  <c r="F80" i="6" s="1"/>
  <c r="B81" i="6" l="1"/>
  <c r="E81" i="6" s="1"/>
  <c r="F81" i="6" s="1"/>
  <c r="B82" i="6" l="1"/>
  <c r="E82" i="6" s="1"/>
  <c r="F82" i="6" s="1"/>
  <c r="B83" i="6" l="1"/>
  <c r="E83" i="6" s="1"/>
  <c r="F83" i="6" s="1"/>
  <c r="B84" i="6" l="1"/>
  <c r="E84" i="6" s="1"/>
  <c r="F84" i="6" s="1"/>
  <c r="B85" i="6" l="1"/>
  <c r="E85" i="6" s="1"/>
  <c r="F85" i="6" s="1"/>
  <c r="B86" i="6" l="1"/>
  <c r="E86" i="6" s="1"/>
  <c r="F86" i="6" s="1"/>
  <c r="B87" i="6" l="1"/>
  <c r="E87" i="6" s="1"/>
  <c r="F87" i="6" s="1"/>
  <c r="B88" i="6" l="1"/>
  <c r="E88" i="6" s="1"/>
  <c r="F88" i="6" s="1"/>
  <c r="B89" i="6" l="1"/>
  <c r="E89" i="6" s="1"/>
  <c r="F89" i="6" s="1"/>
  <c r="B90" i="6" l="1"/>
  <c r="E90" i="6" s="1"/>
  <c r="F90" i="6" s="1"/>
  <c r="B91" i="6" l="1"/>
  <c r="E91" i="6" s="1"/>
  <c r="F91" i="6" s="1"/>
  <c r="B92" i="6" l="1"/>
  <c r="E92" i="6" s="1"/>
  <c r="F92" i="6" s="1"/>
  <c r="B93" i="6" l="1"/>
  <c r="E93" i="6" s="1"/>
  <c r="F93" i="6" s="1"/>
  <c r="B94" i="6" l="1"/>
  <c r="E94" i="6" s="1"/>
  <c r="F94" i="6" s="1"/>
  <c r="B95" i="6" l="1"/>
  <c r="E95" i="6" s="1"/>
  <c r="F95" i="6" s="1"/>
  <c r="B96" i="6" l="1"/>
  <c r="E96" i="6" s="1"/>
  <c r="F96" i="6" s="1"/>
  <c r="B97" i="6" l="1"/>
  <c r="E97" i="6" s="1"/>
  <c r="F97" i="6" s="1"/>
  <c r="B98" i="6" l="1"/>
  <c r="E98" i="6" s="1"/>
  <c r="F98" i="6" s="1"/>
  <c r="B99" i="6" l="1"/>
  <c r="E99" i="6" s="1"/>
  <c r="F99" i="6" s="1"/>
  <c r="B100" i="6" l="1"/>
  <c r="E100" i="6" s="1"/>
  <c r="F100" i="6" s="1"/>
  <c r="B101" i="6" l="1"/>
  <c r="E101" i="6" s="1"/>
  <c r="F101" i="6" s="1"/>
  <c r="B102" i="6" l="1"/>
  <c r="E102" i="6" s="1"/>
  <c r="F102" i="6" s="1"/>
  <c r="B103" i="6" l="1"/>
  <c r="E103" i="6" s="1"/>
  <c r="F103" i="6" s="1"/>
  <c r="B104" i="6" l="1"/>
  <c r="E104" i="6" s="1"/>
  <c r="F104" i="6" s="1"/>
  <c r="B105" i="6" l="1"/>
  <c r="E105" i="6" s="1"/>
  <c r="F105" i="6" s="1"/>
  <c r="B106" i="6" l="1"/>
  <c r="E106" i="6" s="1"/>
  <c r="F106" i="6" s="1"/>
  <c r="B107" i="6" l="1"/>
  <c r="E107" i="6" s="1"/>
  <c r="F107" i="6" s="1"/>
  <c r="B108" i="6" l="1"/>
  <c r="E108" i="6" s="1"/>
  <c r="F108" i="6" s="1"/>
  <c r="B109" i="6" l="1"/>
  <c r="E109" i="6" s="1"/>
  <c r="F109" i="6" s="1"/>
  <c r="B110" i="6" l="1"/>
  <c r="E110" i="6" s="1"/>
  <c r="F110" i="6" s="1"/>
  <c r="B111" i="6" l="1"/>
  <c r="E111" i="6" s="1"/>
  <c r="F111" i="6" s="1"/>
  <c r="B112" i="6" l="1"/>
  <c r="E112" i="6" s="1"/>
  <c r="F112" i="6" s="1"/>
  <c r="B113" i="6" l="1"/>
  <c r="E113" i="6" s="1"/>
  <c r="F113" i="6" s="1"/>
  <c r="B114" i="6" l="1"/>
  <c r="E114" i="6" s="1"/>
  <c r="F114" i="6" s="1"/>
  <c r="B115" i="6" l="1"/>
  <c r="E115" i="6" s="1"/>
  <c r="F115" i="6" s="1"/>
  <c r="B116" i="6" l="1"/>
  <c r="E116" i="6" s="1"/>
  <c r="F116" i="6" s="1"/>
  <c r="B117" i="6" l="1"/>
  <c r="E117" i="6" s="1"/>
  <c r="F117" i="6" s="1"/>
  <c r="B118" i="6" l="1"/>
  <c r="E118" i="6" s="1"/>
  <c r="F118" i="6" s="1"/>
  <c r="B119" i="6" l="1"/>
  <c r="E119" i="6" s="1"/>
  <c r="F119" i="6" s="1"/>
  <c r="B120" i="6" l="1"/>
  <c r="E120" i="6" s="1"/>
  <c r="F120" i="6" s="1"/>
  <c r="B121" i="6" l="1"/>
  <c r="E121" i="6" s="1"/>
  <c r="F121" i="6" s="1"/>
  <c r="B122" i="6" l="1"/>
  <c r="E122" i="6" s="1"/>
  <c r="F122" i="6" s="1"/>
  <c r="B123" i="6" l="1"/>
  <c r="E123" i="6" s="1"/>
  <c r="F123" i="6" s="1"/>
  <c r="B124" i="6" l="1"/>
  <c r="E124" i="6" s="1"/>
  <c r="F124" i="6" s="1"/>
  <c r="B125" i="6" l="1"/>
  <c r="E125" i="6" s="1"/>
  <c r="F125" i="6" s="1"/>
  <c r="B126" i="6" l="1"/>
  <c r="E126" i="6" s="1"/>
  <c r="F126" i="6" s="1"/>
  <c r="B127" i="6" l="1"/>
  <c r="E127" i="6" s="1"/>
  <c r="F127" i="6" s="1"/>
  <c r="B128" i="6" l="1"/>
  <c r="E128" i="6" s="1"/>
  <c r="F128" i="6" s="1"/>
  <c r="B129" i="6" l="1"/>
  <c r="E129" i="6" s="1"/>
  <c r="F129" i="6" s="1"/>
  <c r="B130" i="6" l="1"/>
  <c r="E130" i="6" s="1"/>
  <c r="F130" i="6" s="1"/>
  <c r="B131" i="6" l="1"/>
  <c r="E131" i="6" s="1"/>
  <c r="F131" i="6" s="1"/>
  <c r="B133" i="6" l="1"/>
  <c r="E133" i="6" s="1"/>
  <c r="F133" i="6" s="1"/>
  <c r="B132" i="6"/>
  <c r="E132" i="6" s="1"/>
  <c r="F132" i="6" s="1"/>
  <c r="E4" i="6" l="1"/>
  <c r="F4" i="6" s="1"/>
  <c r="M139" i="8" l="1"/>
  <c r="M140" i="8" l="1"/>
  <c r="M141" i="8" l="1"/>
  <c r="M142" i="8" l="1"/>
  <c r="M143" i="8" l="1"/>
  <c r="N134" i="8"/>
  <c r="O134" i="8" s="1"/>
  <c r="I134" i="8"/>
  <c r="G144" i="8" l="1"/>
  <c r="P134" i="8"/>
  <c r="T302" i="3" s="1"/>
  <c r="I136" i="8"/>
  <c r="N136" i="8"/>
  <c r="O136" i="8" s="1"/>
  <c r="I135" i="8"/>
  <c r="N135" i="8"/>
  <c r="O135" i="8" s="1"/>
  <c r="P135" i="8" l="1"/>
  <c r="P136" i="8"/>
  <c r="I138" i="8"/>
  <c r="N138" i="8"/>
  <c r="O138" i="8" s="1"/>
  <c r="I137" i="8"/>
  <c r="N137" i="8"/>
  <c r="T222" i="3" l="1"/>
  <c r="T360" i="3"/>
  <c r="T163" i="3"/>
  <c r="T283" i="3"/>
  <c r="T110" i="3"/>
  <c r="T11" i="3"/>
  <c r="T326" i="3"/>
  <c r="T332" i="3"/>
  <c r="T324" i="3"/>
  <c r="T112" i="3"/>
  <c r="P138" i="8"/>
  <c r="I139" i="8"/>
  <c r="N139" i="8"/>
  <c r="P137" i="8"/>
  <c r="O137" i="8"/>
  <c r="T456" i="3" l="1"/>
  <c r="T459" i="3"/>
  <c r="T142" i="3"/>
  <c r="T374" i="3"/>
  <c r="T46" i="3"/>
  <c r="T290" i="3"/>
  <c r="T86" i="3"/>
  <c r="T262" i="3"/>
  <c r="T134" i="3"/>
  <c r="T135" i="3"/>
  <c r="T140" i="3"/>
  <c r="T141" i="3"/>
  <c r="T263" i="3"/>
  <c r="T133" i="3"/>
  <c r="T465" i="3"/>
  <c r="T305" i="3"/>
  <c r="I140" i="8"/>
  <c r="N140" i="8"/>
  <c r="O140" i="8" s="1"/>
  <c r="P139" i="8"/>
  <c r="O139" i="8"/>
  <c r="P140" i="8" l="1"/>
  <c r="I142" i="8"/>
  <c r="N142" i="8"/>
  <c r="O142" i="8" s="1"/>
  <c r="I141" i="8"/>
  <c r="N141" i="8"/>
  <c r="T207" i="3" l="1"/>
  <c r="T333" i="3"/>
  <c r="T343" i="3"/>
  <c r="T210" i="3"/>
  <c r="T339" i="3"/>
  <c r="T208" i="3"/>
  <c r="T248" i="3"/>
  <c r="T206" i="3"/>
  <c r="T209" i="3"/>
  <c r="T246" i="3"/>
  <c r="T148" i="3"/>
  <c r="T188" i="3"/>
  <c r="T204" i="3"/>
  <c r="T203" i="3"/>
  <c r="T202" i="3"/>
  <c r="T205" i="3"/>
  <c r="T315" i="3"/>
  <c r="T467" i="3"/>
  <c r="T445" i="3"/>
  <c r="T164" i="3"/>
  <c r="P142" i="8"/>
  <c r="T325" i="3" s="1"/>
  <c r="P141" i="8"/>
  <c r="O141" i="8"/>
  <c r="I143" i="8"/>
  <c r="N143" i="8"/>
  <c r="H144" i="8"/>
  <c r="I144" i="8" s="1"/>
  <c r="T169" i="3" l="1"/>
  <c r="T176" i="3"/>
  <c r="T508" i="3"/>
  <c r="T313" i="3"/>
  <c r="T230" i="3"/>
  <c r="T281" i="3"/>
  <c r="T12" i="3"/>
  <c r="T284" i="3"/>
  <c r="T177" i="3"/>
  <c r="M104" i="8"/>
  <c r="O104" i="8" s="1"/>
  <c r="G105" i="8"/>
  <c r="I105" i="8" s="1"/>
  <c r="P143" i="8"/>
  <c r="T123" i="3" s="1"/>
  <c r="O143" i="8"/>
  <c r="I104" i="8"/>
  <c r="C14" i="3" l="1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Felipe Bellodi</author>
  </authors>
  <commentList>
    <comment ref="J2" authorId="0" shapeId="0" xr:uid="{0DB62C0A-80E4-4805-BC32-9E9BF000800F}">
      <text>
        <r>
          <rPr>
            <b/>
            <sz val="9"/>
            <color indexed="81"/>
            <rFont val="Segoe UI"/>
            <family val="2"/>
          </rPr>
          <t>Felipe Bellodi:</t>
        </r>
        <r>
          <rPr>
            <sz val="9"/>
            <color indexed="81"/>
            <rFont val="Segoe UI"/>
            <family val="2"/>
          </rPr>
          <t xml:space="preserve">
Já acessou o mercado externo antes? (Não, 1ª vez = 0 / Sim = 1)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Felipe Bellodi</author>
  </authors>
  <commentList>
    <comment ref="G1" authorId="0" shapeId="0" xr:uid="{43039792-3554-4E87-91DA-A4D57CB47A51}">
      <text>
        <r>
          <rPr>
            <b/>
            <sz val="9"/>
            <color indexed="81"/>
            <rFont val="Segoe UI"/>
            <family val="2"/>
          </rPr>
          <t>Felipe Bellodi:</t>
        </r>
        <r>
          <rPr>
            <sz val="9"/>
            <color indexed="81"/>
            <rFont val="Segoe UI"/>
            <family val="2"/>
          </rPr>
          <t xml:space="preserve">
Checar se eh % em volume ou operação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Felipe Bellodi</author>
  </authors>
  <commentList>
    <comment ref="E1" authorId="0" shapeId="0" xr:uid="{28B16EB3-9CB0-45C9-B4ED-CF67353AC678}">
      <text>
        <r>
          <rPr>
            <b/>
            <sz val="9"/>
            <color indexed="81"/>
            <rFont val="Segoe UI"/>
            <family val="2"/>
          </rPr>
          <t>Felipe Bellodi:</t>
        </r>
        <r>
          <rPr>
            <sz val="9"/>
            <color indexed="81"/>
            <rFont val="Segoe UI"/>
            <family val="2"/>
          </rPr>
          <t xml:space="preserve">
% do volume emitido no mês</t>
        </r>
      </text>
    </comment>
    <comment ref="J1" authorId="0" shapeId="0" xr:uid="{34B0ECE6-68FD-4ED9-9082-0C2B616CE7CA}">
      <text>
        <r>
          <rPr>
            <b/>
            <sz val="9"/>
            <color indexed="81"/>
            <rFont val="Segoe UI"/>
            <family val="2"/>
          </rPr>
          <t>Felipe Bellodi:</t>
        </r>
        <r>
          <rPr>
            <sz val="9"/>
            <color indexed="81"/>
            <rFont val="Segoe UI"/>
            <family val="2"/>
          </rPr>
          <t xml:space="preserve">
% do volume emitido no mês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<sst xmlns="http://schemas.openxmlformats.org/spreadsheetml/2006/main" count="2818" uniqueCount="358">
  <si>
    <r>
      <t>Empresa (</t>
    </r>
    <r>
      <rPr>
        <i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)</t>
    </r>
  </si>
  <si>
    <t xml:space="preserve">Empresa        </t>
  </si>
  <si>
    <t>Grupo Econômico</t>
  </si>
  <si>
    <t>Data de Emissao</t>
  </si>
  <si>
    <t xml:space="preserve"> Data de Vencimento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</si>
  <si>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</rPr>
      <t>LP</t>
    </r>
  </si>
  <si>
    <t>Preço USD</t>
  </si>
  <si>
    <t>Volume Emissão</t>
  </si>
  <si>
    <t>Volume R$ MM</t>
  </si>
  <si>
    <t>indice</t>
  </si>
  <si>
    <t>Corporate Rating na data da Emissão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</si>
  <si>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  <scheme val="minor"/>
      </rPr>
      <t>HighGrade</t>
    </r>
  </si>
  <si>
    <t>Adecoagro</t>
  </si>
  <si>
    <t>-</t>
  </si>
  <si>
    <t>Adecoagro SA</t>
  </si>
  <si>
    <t>21/09/2027</t>
  </si>
  <si>
    <t>USD</t>
  </si>
  <si>
    <t>Aegea</t>
  </si>
  <si>
    <t>Aegea Finance Sarl</t>
  </si>
  <si>
    <t>10/10/2024</t>
  </si>
  <si>
    <t>Americanas</t>
  </si>
  <si>
    <t>B2W Digital Lux Sarl</t>
  </si>
  <si>
    <t>20/12/2030</t>
  </si>
  <si>
    <t>Andrade Gutierrez</t>
  </si>
  <si>
    <t>Andrade Gutierrez International SA</t>
  </si>
  <si>
    <t>30/12/2024</t>
  </si>
  <si>
    <t>Azul Linhas Aéreas</t>
  </si>
  <si>
    <t>Azul Investments LLP</t>
  </si>
  <si>
    <t>15/06/2026</t>
  </si>
  <si>
    <t>26/10/2024</t>
  </si>
  <si>
    <t>Braskem</t>
  </si>
  <si>
    <t>Braskem America Finance Co</t>
  </si>
  <si>
    <t>22/07/2041</t>
  </si>
  <si>
    <t>Braskem Finance Ltd</t>
  </si>
  <si>
    <t>03/02/2024</t>
  </si>
  <si>
    <t>02/05/2022</t>
  </si>
  <si>
    <t>15/04/2021</t>
  </si>
  <si>
    <t>Braskem Netherlands Finance BV</t>
  </si>
  <si>
    <t>31/01/2030</t>
  </si>
  <si>
    <t>10/01/2028</t>
  </si>
  <si>
    <t>31/01/2050</t>
  </si>
  <si>
    <t>23/01/2081</t>
  </si>
  <si>
    <t>10/01/2023</t>
  </si>
  <si>
    <t>BRF</t>
  </si>
  <si>
    <t>BRF GmbH</t>
  </si>
  <si>
    <t>29/09/2026</t>
  </si>
  <si>
    <t>BRF SA</t>
  </si>
  <si>
    <t>24/01/2030</t>
  </si>
  <si>
    <t>21/09/2050</t>
  </si>
  <si>
    <t>22/05/2024</t>
  </si>
  <si>
    <t>22/05/2023</t>
  </si>
  <si>
    <t>06/06/2022</t>
  </si>
  <si>
    <t>Cemig</t>
  </si>
  <si>
    <t>Cemig Geracao e Transmissao SA</t>
  </si>
  <si>
    <t>05/12/2024</t>
  </si>
  <si>
    <t>Cia Brasileira de Alumínio</t>
  </si>
  <si>
    <t>Cia Brasileira de Aluminio</t>
  </si>
  <si>
    <t>17/06/2024</t>
  </si>
  <si>
    <t>Cielo</t>
  </si>
  <si>
    <t>Cielo SA</t>
  </si>
  <si>
    <t>16/11/2022</t>
  </si>
  <si>
    <t>Cielo USA Inc</t>
  </si>
  <si>
    <t>Cosan</t>
  </si>
  <si>
    <t>Cosan Ltd</t>
  </si>
  <si>
    <t>20/09/2024</t>
  </si>
  <si>
    <t>Cosan Luxembourg SA</t>
  </si>
  <si>
    <t>20/01/2027</t>
  </si>
  <si>
    <t>14/03/2023</t>
  </si>
  <si>
    <t>Cosan SA</t>
  </si>
  <si>
    <t>20/09/2029</t>
  </si>
  <si>
    <t>CSN</t>
  </si>
  <si>
    <t>CSN Inova Ventures</t>
  </si>
  <si>
    <t>28/01/2028</t>
  </si>
  <si>
    <t>CSN Resources SA</t>
  </si>
  <si>
    <t>10/06/2031</t>
  </si>
  <si>
    <t>17/04/2026</t>
  </si>
  <si>
    <t>13/02/2023</t>
  </si>
  <si>
    <t>21/07/2020</t>
  </si>
  <si>
    <t>Eldorado</t>
  </si>
  <si>
    <t>Eldorado Intl. Finance GmbH</t>
  </si>
  <si>
    <t>16/06/2021</t>
  </si>
  <si>
    <t>Eletrobras</t>
  </si>
  <si>
    <t>Centrais Eletricas Brasileiras SA</t>
  </si>
  <si>
    <t>04/02/2030</t>
  </si>
  <si>
    <t>04/02/2025</t>
  </si>
  <si>
    <t>27/10/2021</t>
  </si>
  <si>
    <t>Equatorial</t>
  </si>
  <si>
    <t>EQUATORIAL PARA DISTRIBUIDORA</t>
  </si>
  <si>
    <t>03/06/2016</t>
  </si>
  <si>
    <t>Gerdau</t>
  </si>
  <si>
    <t>Gerdau Trade Inc</t>
  </si>
  <si>
    <t>24/10/2027</t>
  </si>
  <si>
    <t>15/04/2023</t>
  </si>
  <si>
    <t>GTL Trade Finance Inc</t>
  </si>
  <si>
    <t>16/04/2044</t>
  </si>
  <si>
    <t>29/04/2024</t>
  </si>
  <si>
    <t>GTL Trade Finance Inc / Gerdau Holdings Inc</t>
  </si>
  <si>
    <t>GUSAP III LP</t>
  </si>
  <si>
    <t>21/01/2030</t>
  </si>
  <si>
    <t>Gol Linhas Aéreas</t>
  </si>
  <si>
    <t>Gol Finance Inc</t>
  </si>
  <si>
    <t>31/01/2025</t>
  </si>
  <si>
    <t>Gol Finance SA</t>
  </si>
  <si>
    <t>30/06/2026</t>
  </si>
  <si>
    <t>24/01/2022</t>
  </si>
  <si>
    <t>Gol Linhas Aereas SA</t>
  </si>
  <si>
    <t>12/02/2023</t>
  </si>
  <si>
    <t>Hidrovias do Brasil</t>
  </si>
  <si>
    <t>Hidrovias International Finance SARL</t>
  </si>
  <si>
    <t>08/02/2031</t>
  </si>
  <si>
    <t>24/01/2025</t>
  </si>
  <si>
    <t>Hypera</t>
  </si>
  <si>
    <t>Hypera SA</t>
  </si>
  <si>
    <t>20/04/2021</t>
  </si>
  <si>
    <t>InterCement</t>
  </si>
  <si>
    <t>InterCement Financial Operations BV</t>
  </si>
  <si>
    <t>17/07/2024</t>
  </si>
  <si>
    <t>Iochpe-Maxion</t>
  </si>
  <si>
    <t>Iochpe-Maxion Austria GmbH / Maxion Wheels de Mexico S de RL de CV</t>
  </si>
  <si>
    <t>07/05/2028</t>
  </si>
  <si>
    <t>Klabin</t>
  </si>
  <si>
    <t>Klabin Austria GmbH</t>
  </si>
  <si>
    <t>03/04/2049</t>
  </si>
  <si>
    <t>03/04/2029</t>
  </si>
  <si>
    <t>12/01/2031</t>
  </si>
  <si>
    <t>19/09/2027</t>
  </si>
  <si>
    <t>16/07/2024</t>
  </si>
  <si>
    <t>Light Energia</t>
  </si>
  <si>
    <t>Light Servicos de Eletricidade SA/Light Energia SA</t>
  </si>
  <si>
    <t>18/06/2026</t>
  </si>
  <si>
    <t>03/05/2023</t>
  </si>
  <si>
    <t>Marfrig</t>
  </si>
  <si>
    <t>MARB BondCo PLC</t>
  </si>
  <si>
    <t>29/01/2031</t>
  </si>
  <si>
    <t>19/01/2025</t>
  </si>
  <si>
    <t>15/03/2024</t>
  </si>
  <si>
    <t>Marfrig Holdings Europe BV</t>
  </si>
  <si>
    <t>08/06/2023</t>
  </si>
  <si>
    <t>24/06/2019</t>
  </si>
  <si>
    <t>09/05/2018</t>
  </si>
  <si>
    <t>20/09/2021</t>
  </si>
  <si>
    <t>24/07/2017</t>
  </si>
  <si>
    <t>NBM US Holdings Inc</t>
  </si>
  <si>
    <t>14/05/2026</t>
  </si>
  <si>
    <t>06/08/2029</t>
  </si>
  <si>
    <t>Minerva</t>
  </si>
  <si>
    <t>Minerva Luxembourg SA</t>
  </si>
  <si>
    <t>18/03/2031</t>
  </si>
  <si>
    <t>19/01/2028</t>
  </si>
  <si>
    <t>20/09/2026</t>
  </si>
  <si>
    <t>31/01/2023</t>
  </si>
  <si>
    <t>10/02/2022</t>
  </si>
  <si>
    <t>Movida</t>
  </si>
  <si>
    <t>Movida Europe SA</t>
  </si>
  <si>
    <t>Natura Cosméticos</t>
  </si>
  <si>
    <t>Natura Cosmeticos SA</t>
  </si>
  <si>
    <t>03/05/2028</t>
  </si>
  <si>
    <t>01/02/2023</t>
  </si>
  <si>
    <t>Oi</t>
  </si>
  <si>
    <t>Oi Brasil Holdings Cooperatief UA</t>
  </si>
  <si>
    <t>Oi SA</t>
  </si>
  <si>
    <t>27/07/2025</t>
  </si>
  <si>
    <t>Petrobras</t>
  </si>
  <si>
    <t>Petrobras Global Finance BV</t>
  </si>
  <si>
    <t>03/01/2031</t>
  </si>
  <si>
    <t>27/01/2028</t>
  </si>
  <si>
    <t>17/03/2044</t>
  </si>
  <si>
    <t>10/06/2051</t>
  </si>
  <si>
    <t>17/01/2027</t>
  </si>
  <si>
    <t>19/03/2049</t>
  </si>
  <si>
    <t>17/03/2024</t>
  </si>
  <si>
    <t>15/01/2030</t>
  </si>
  <si>
    <t>01/02/2029</t>
  </si>
  <si>
    <t>27/01/2025</t>
  </si>
  <si>
    <t>27/01/2041</t>
  </si>
  <si>
    <t>23/05/2026</t>
  </si>
  <si>
    <t>03/06/2050</t>
  </si>
  <si>
    <t>20/05/2043</t>
  </si>
  <si>
    <t>20/05/2023</t>
  </si>
  <si>
    <t>27/01/2021</t>
  </si>
  <si>
    <t>17/01/2022</t>
  </si>
  <si>
    <t>23/05/2021</t>
  </si>
  <si>
    <t>06/02/2017</t>
  </si>
  <si>
    <t>17/03/2017</t>
  </si>
  <si>
    <t>27/01/2016</t>
  </si>
  <si>
    <t>17/03/2020</t>
  </si>
  <si>
    <t>06/02/2015</t>
  </si>
  <si>
    <t>Queiroz Galvão</t>
  </si>
  <si>
    <t>QGOG Atlantic / Alaskan Rigs Ltd</t>
  </si>
  <si>
    <t>30/07/2018</t>
  </si>
  <si>
    <t>Raizen</t>
  </si>
  <si>
    <t>Raizen Fuels Finance SA</t>
  </si>
  <si>
    <t>Rede D'or</t>
  </si>
  <si>
    <t>Rede D'or Finance Sarl</t>
  </si>
  <si>
    <t>22/01/2030</t>
  </si>
  <si>
    <t>17/01/2028</t>
  </si>
  <si>
    <t>Rumo</t>
  </si>
  <si>
    <t>Rumo Luxembourg Sarl</t>
  </si>
  <si>
    <t>18/01/2032</t>
  </si>
  <si>
    <t>Simpar</t>
  </si>
  <si>
    <t>JSM Global Sarl</t>
  </si>
  <si>
    <t>20/10/2030</t>
  </si>
  <si>
    <t>Simpar Europe SA</t>
  </si>
  <si>
    <t>26/01/2031</t>
  </si>
  <si>
    <t>26/07/2024</t>
  </si>
  <si>
    <t>Suzano</t>
  </si>
  <si>
    <t>Suzano Austria GmbH</t>
  </si>
  <si>
    <t>16/03/2047</t>
  </si>
  <si>
    <t>15/01/2029</t>
  </si>
  <si>
    <t>15/01/2032</t>
  </si>
  <si>
    <t>15/01/2031</t>
  </si>
  <si>
    <t>15/09/2028</t>
  </si>
  <si>
    <t>14/07/2026</t>
  </si>
  <si>
    <t>Ultrapar</t>
  </si>
  <si>
    <t>Ultrapar International SA</t>
  </si>
  <si>
    <t>06/06/2029</t>
  </si>
  <si>
    <t>06/10/2026</t>
  </si>
  <si>
    <t>Usiminas</t>
  </si>
  <si>
    <t>Usiminas International Sarl</t>
  </si>
  <si>
    <t>18/07/2026</t>
  </si>
  <si>
    <t>Vale</t>
  </si>
  <si>
    <t>Vale Overseas Ltd</t>
  </si>
  <si>
    <t>08/07/2030</t>
  </si>
  <si>
    <t>10/08/2026</t>
  </si>
  <si>
    <t>10/06/2021</t>
  </si>
  <si>
    <t>11/01/2022</t>
  </si>
  <si>
    <t>Vale SA</t>
  </si>
  <si>
    <t>11/09/2042</t>
  </si>
  <si>
    <t>Votorantim Cimentos</t>
  </si>
  <si>
    <t>Votorantim Cimentos International SA</t>
  </si>
  <si>
    <t>05/04/2041</t>
  </si>
  <si>
    <t>Votorantim Cimentos SA</t>
  </si>
  <si>
    <t>Ativo</t>
  </si>
  <si>
    <t>Bonds</t>
  </si>
  <si>
    <t>BB</t>
  </si>
  <si>
    <t>CCC-</t>
  </si>
  <si>
    <t>CCC+</t>
  </si>
  <si>
    <t>NR</t>
  </si>
  <si>
    <t>BB+</t>
  </si>
  <si>
    <t>BBB-</t>
  </si>
  <si>
    <t>BBB</t>
  </si>
  <si>
    <t>B+</t>
  </si>
  <si>
    <t>B</t>
  </si>
  <si>
    <t>BBB+</t>
  </si>
  <si>
    <t>B-</t>
  </si>
  <si>
    <t>BB-</t>
  </si>
  <si>
    <t>CCC</t>
  </si>
  <si>
    <t>D</t>
  </si>
  <si>
    <t>C</t>
  </si>
  <si>
    <t>Energisa</t>
  </si>
  <si>
    <t>Magnesita</t>
  </si>
  <si>
    <t>Companhia</t>
  </si>
  <si>
    <t>Fitch</t>
  </si>
  <si>
    <t>Moody's</t>
  </si>
  <si>
    <t>S&amp;P</t>
  </si>
  <si>
    <t>AAA</t>
  </si>
  <si>
    <t>Aaa</t>
  </si>
  <si>
    <t>AA+</t>
  </si>
  <si>
    <t>Aa1</t>
  </si>
  <si>
    <t>RD</t>
  </si>
  <si>
    <t xml:space="preserve">AA </t>
  </si>
  <si>
    <t>Aa2</t>
  </si>
  <si>
    <t>AA-</t>
  </si>
  <si>
    <t>Aa3</t>
  </si>
  <si>
    <t>A+</t>
  </si>
  <si>
    <t>A1</t>
  </si>
  <si>
    <t>A</t>
  </si>
  <si>
    <t>A2</t>
  </si>
  <si>
    <t>Baa3</t>
  </si>
  <si>
    <t>Ba1</t>
  </si>
  <si>
    <t>Ba2</t>
  </si>
  <si>
    <t>Ba3</t>
  </si>
  <si>
    <t>B1</t>
  </si>
  <si>
    <t>B3</t>
  </si>
  <si>
    <t>Caa3</t>
  </si>
  <si>
    <t>WD</t>
  </si>
  <si>
    <t>WR</t>
  </si>
  <si>
    <t>PIF</t>
  </si>
  <si>
    <t>CC</t>
  </si>
  <si>
    <t>Data</t>
  </si>
  <si>
    <t>Nº Operações</t>
  </si>
  <si>
    <t>Volume Médio R$ MM</t>
  </si>
  <si>
    <t>Mês</t>
  </si>
  <si>
    <t>Dólar Médio Mensal</t>
  </si>
  <si>
    <t>6-10 anos</t>
  </si>
  <si>
    <t>11-15 anos</t>
  </si>
  <si>
    <t>+15 anos</t>
  </si>
  <si>
    <t>Perpétuo</t>
  </si>
  <si>
    <t>Curto Prazo (5 anos)</t>
  </si>
  <si>
    <t>Longo Prazo (&gt;5 anos)</t>
  </si>
  <si>
    <t>Apoio</t>
  </si>
  <si>
    <t>Longo Prazo (&gt;6 anos)</t>
  </si>
  <si>
    <t>Volume Inc R$ MM</t>
  </si>
  <si>
    <t>Nº Operações Inc</t>
  </si>
  <si>
    <t>Volume Médio Inc R$ MM</t>
  </si>
  <si>
    <t>ADECOAGRO VALE DO IVINHEMA S.A.</t>
  </si>
  <si>
    <t>AEGEA SANEAMENTO E PARTICIPACOES S/A</t>
  </si>
  <si>
    <t>AMERICANAS S/A</t>
  </si>
  <si>
    <t>ANDRADE GUTIERREZ PARTICIPACOES S.A.</t>
  </si>
  <si>
    <t>ANDRADE GUTIERREZ S/A</t>
  </si>
  <si>
    <t>AZUL LINHAS AEREAS BRASILEIRAS S.A.</t>
  </si>
  <si>
    <t>BRK AMBIENTAL PARTICIPACOES S/A</t>
  </si>
  <si>
    <t>BRF S/A</t>
  </si>
  <si>
    <t>CEMIG CAPIM BRANCO ENERGIA S.A.</t>
  </si>
  <si>
    <t>CEMIG DISTRIBUICAO S/A</t>
  </si>
  <si>
    <t>CEMIG GERACAO E TRANSMISSAO S/A</t>
  </si>
  <si>
    <t>COMPANHIA ENERGETICA DE MINAS GERAIS - CEMIG</t>
  </si>
  <si>
    <t>COMPANHIA BRASILEIRA DE ALUMINIO</t>
  </si>
  <si>
    <t>CIELO S.A.</t>
  </si>
  <si>
    <t>COSAN S.A.</t>
  </si>
  <si>
    <t>CSN MINERACAO S.A.</t>
  </si>
  <si>
    <t>ELDORADO BRASIL CELULOSE S.A.</t>
  </si>
  <si>
    <t>CENTRAIS ELETRICAS BRAS.S/A - ELETROBRAS</t>
  </si>
  <si>
    <t>EQUATORIAL PARA DISTRIBUIDORA DE ENERGIA S.A.</t>
  </si>
  <si>
    <t>GERDAU S/A</t>
  </si>
  <si>
    <t>GOL LINHAS AEREAS S/A</t>
  </si>
  <si>
    <t>HIDROVIAS DO BRASIL S.A.</t>
  </si>
  <si>
    <t>HYPERA S/A</t>
  </si>
  <si>
    <t>INTERCEMENT BRASIL S.A.</t>
  </si>
  <si>
    <t>INTERCEMENT PARTICIPACOES S.A.</t>
  </si>
  <si>
    <t>IOCHPE-MAXION S/A</t>
  </si>
  <si>
    <t>KLABIN S/A</t>
  </si>
  <si>
    <t>LIGHT ENERGIA S.A</t>
  </si>
  <si>
    <t>LIGHT SERVICOS DE ELETRICIDADE S/A</t>
  </si>
  <si>
    <t>MARFRIG GLOBAL FOODS S.A.</t>
  </si>
  <si>
    <t>MINERVA S/A</t>
  </si>
  <si>
    <t>MOVIDA GESTAO E TERCEIRIZACAO DE FROTAS S/A</t>
  </si>
  <si>
    <t>MOVIDA LOCACAO DE VEICULOS S.A.</t>
  </si>
  <si>
    <t>MOVIDA PARTICIPACOES S/A</t>
  </si>
  <si>
    <t>NATURA COSMETICOS S/A</t>
  </si>
  <si>
    <t>OI S/A – EM RECUPERACAO JUDICIAL</t>
  </si>
  <si>
    <t>PETROLEO BRASILEIRO S/A - PETROBRAS</t>
  </si>
  <si>
    <t>CONSTRUTORA QUEIROZ GALVAO S/A</t>
  </si>
  <si>
    <t>QUEIROZ GALVAO DESENVOLVIMENTO DE NEGOCIOS S.A.</t>
  </si>
  <si>
    <t>QUEIROZ GALVAO DESENVOLVIMENTO IMOBILIARIO S.A.</t>
  </si>
  <si>
    <t>QUEIROZ GALVAO S/A</t>
  </si>
  <si>
    <t>RAIZEN ENERGIA S/A</t>
  </si>
  <si>
    <t>REDE DOR SAO LUIZ S/A</t>
  </si>
  <si>
    <t>RUMO S.A.</t>
  </si>
  <si>
    <t>JSL S.A</t>
  </si>
  <si>
    <t>SUZANO S.A.</t>
  </si>
  <si>
    <t>ULTRAPAR PARTICIPACOES S/A</t>
  </si>
  <si>
    <t>USINAS SIDERURGICAS DE MG S/A - USIMINAS</t>
  </si>
  <si>
    <t>VALE S/A</t>
  </si>
  <si>
    <t>VOTORANTIM CIMENTOS S/A</t>
  </si>
  <si>
    <t>VOTORANTIM SIDERURGIA S.A.</t>
  </si>
  <si>
    <t>Debêntures</t>
  </si>
  <si>
    <t>IPCA</t>
  </si>
  <si>
    <t>DI</t>
  </si>
  <si>
    <t>Volume Médio Debs R$ MM</t>
  </si>
  <si>
    <t>LP Debs (&gt;5 anos)</t>
  </si>
  <si>
    <t>Volume Médio Mercado Bonds R$ MM</t>
  </si>
  <si>
    <t>LP Mercado Bonds (&gt;5 anos)</t>
  </si>
  <si>
    <r>
      <t>β</t>
    </r>
    <r>
      <rPr>
        <i/>
        <sz val="11"/>
        <color theme="1"/>
        <rFont val="Calibri"/>
        <family val="2"/>
      </rPr>
      <t>ExtAccess</t>
    </r>
  </si>
  <si>
    <t>Total</t>
  </si>
  <si>
    <t>Ano</t>
  </si>
  <si>
    <t>Nº Emissões</t>
  </si>
  <si>
    <t>Volume (R$ bi)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</si>
</sst>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3" fillId="2" borderId="0" xfId="0" applyFont="1" applyFill="1"/>
    <xf numFmtId="0" fontId="2" fillId="2" borderId="0" xfId="0" applyFont="1" applyFill="1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0" fontId="5" fillId="0" borderId="0" xfId="0" applyFont="1"/>
    <xf numFmtId="10" fontId="0" fillId="0" borderId="0" xfId="0" applyNumberFormat="1"/>
    <xf numFmtId="0" fontId="6" fillId="0" borderId="1" xfId="0" applyFont="1" applyBorder="1"/>
    <xf numFmtId="14" fontId="0" fillId="0" borderId="0" xfId="0" applyNumberFormat="1"/>
    <xf numFmtId="17" fontId="0" fillId="0" borderId="0" xfId="0" applyNumberFormat="1"/>
    <xf numFmtId="164" fontId="0" fillId="0" borderId="0" xfId="0" applyNumberFormat="1"/>
    <xf numFmtId="17" fontId="0" fillId="0" borderId="2" xfId="0" applyNumberFormat="1" applyBorder="1"/>
    <xf numFmtId="164" fontId="0" fillId="0" borderId="2" xfId="0" applyNumberFormat="1" applyBorder="1"/>
    <xf numFmtId="3" fontId="0" fillId="0" borderId="2" xfId="0" applyNumberFormat="1" applyBorder="1"/>
    <xf numFmtId="10" fontId="0" fillId="0" borderId="2" xfId="0" applyNumberFormat="1" applyBorder="1"/>
    <xf numFmtId="0" fontId="0" fillId="0" borderId="2" xfId="0" applyBorder="1"/>
    <xf numFmtId="10" fontId="0" fillId="2" borderId="0" xfId="0" applyNumberFormat="1" applyFill="1"/>
    <xf numFmtId="165" fontId="0" fillId="0" borderId="0" xfId="0" applyNumberFormat="1"/>
    <xf numFmtId="1" fontId="1" fillId="0" borderId="0" xfId="0" applyNumberFormat="1" applyFont="1"/>
    <xf numFmtId="0" fontId="2" fillId="0" borderId="0" xfId="0" applyFont="1"/>
    <xf numFmtId="9" fontId="0" fillId="0" borderId="0" xfId="0" applyNumberFormat="1"/>
    <xf numFmtId="3" fontId="2" fillId="2" borderId="0" xfId="0" applyNumberFormat="1" applyFont="1" applyFill="1"/>
    <xf numFmtId="9" fontId="0" fillId="2" borderId="0" xfId="0" applyNumberFormat="1" applyFill="1"/>
    <xf numFmtId="10" fontId="2" fillId="2" borderId="0" xfId="0" applyNumberFormat="1" applyFont="1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4" fontId="0" fillId="0" borderId="6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3" xfId="0" applyNumberFormat="1" applyBorder="1" applyAlignment="1">
      <alignment horizontal="center"/>
    </xf>
    <xf numFmtId="4" fontId="0" fillId="0" borderId="4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9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CBBD-7604-4278-89A0-7AA836A32F82}">
  <dimension ref="A2:T515"/>
  <sheetViews>
    <sheetView tabSelected="1" topLeftCell="P1" workbookViewId="0">
      <selection activeCell="U2" sqref="U2"/>
    </sheetView>
  </sheetViews>
  <sheetFormatPr defaultRowHeight="14.5" x14ac:dyDescent="0.35"/>
  <cols>
    <col min="2" max="2" width="11.81640625" bestFit="1" customWidth="1"/>
    <col min="3" max="3" width="10.7265625" bestFit="1" customWidth="1"/>
    <col min="4" max="4" width="62.81640625" bestFit="1" customWidth="1"/>
    <col min="5" max="5" width="22.90625" bestFit="1" customWidth="1"/>
    <col min="6" max="6" width="10.90625" bestFit="1" customWidth="1"/>
    <col min="7" max="7" width="14.7265625" bestFit="1" customWidth="1"/>
    <col min="8" max="8" width="18.81640625" bestFit="1" customWidth="1"/>
    <col min="9" max="9" width="4.1796875" bestFit="1" customWidth="1"/>
    <col min="10" max="10" width="13.6328125" bestFit="1" customWidth="1"/>
    <col min="11" max="11" width="10.453125" bestFit="1" customWidth="1"/>
    <col min="12" max="12" width="15.26953125" bestFit="1" customWidth="1"/>
    <col min="13" max="13" width="14.453125" bestFit="1" customWidth="1"/>
    <col min="14" max="14" width="17.453125" bestFit="1" customWidth="1"/>
    <col min="15" max="15" width="32" bestFit="1" customWidth="1"/>
    <col min="16" max="16" width="12.453125" bestFit="1" customWidth="1"/>
    <col min="17" max="17" width="36.6328125" bestFit="1" customWidth="1"/>
    <col min="18" max="18" width="27.90625" bestFit="1" customWidth="1"/>
    <col min="19" max="19" width="25.08984375" bestFit="1" customWidth="1"/>
    <col min="20" max="20" width="15.6328125" bestFit="1" customWidth="1"/>
  </cols>
  <sheetData>
    <row r="2" spans="1:20" x14ac:dyDescent="0.35">
      <c r="A2" t="s">
        <v>290</v>
      </c>
      <c r="B2" t="s">
        <v>290</v>
      </c>
      <c r="C2" s="3" t="s">
        <v>0</v>
      </c>
      <c r="D2" t="s">
        <v>1</v>
      </c>
      <c r="E2" t="s">
        <v>2</v>
      </c>
      <c r="F2" t="s">
        <v>232</v>
      </c>
      <c r="G2" t="s">
        <v>3</v>
      </c>
      <c r="H2" t="s">
        <v>4</v>
      </c>
      <c r="I2" s="4" t="s">
        <v>5</v>
      </c>
      <c r="J2" s="4" t="s">
        <v>353</v>
      </c>
      <c r="K2" t="s">
        <v>6</v>
      </c>
      <c r="L2" s="23" t="s">
        <v>7</v>
      </c>
      <c r="M2" s="5" t="s">
        <v>8</v>
      </c>
      <c r="N2" t="s">
        <v>9</v>
      </c>
      <c r="O2" t="s">
        <v>10</v>
      </c>
      <c r="P2" s="3" t="s">
        <v>11</v>
      </c>
      <c r="Q2" s="5" t="s">
        <v>351</v>
      </c>
      <c r="R2" s="27" t="s">
        <v>352</v>
      </c>
      <c r="S2" s="5" t="s">
        <v>349</v>
      </c>
      <c r="T2" s="20" t="s">
        <v>350</v>
      </c>
    </row>
    <row r="3" spans="1:20" x14ac:dyDescent="0.35">
      <c r="A3">
        <f>YEAR(B3)</f>
        <v>2017</v>
      </c>
      <c r="B3" s="12">
        <f>DATE(YEAR(G3),MONTH(G3),DAY(1))</f>
        <v>42979</v>
      </c>
      <c r="C3">
        <f>IF(E3&lt;&gt;E2,C1+1,C1)</f>
        <v>1</v>
      </c>
      <c r="D3" s="6" t="s">
        <v>14</v>
      </c>
      <c r="E3" s="6" t="s">
        <v>12</v>
      </c>
      <c r="F3" s="6" t="s">
        <v>233</v>
      </c>
      <c r="G3" s="1">
        <v>42999</v>
      </c>
      <c r="H3" s="1" t="s">
        <v>15</v>
      </c>
      <c r="I3" s="7">
        <f>IF(H3-G3&gt;(365*5),1,0)</f>
        <v>1</v>
      </c>
      <c r="J3" s="22">
        <v>0</v>
      </c>
      <c r="K3" s="9">
        <f>IF($N3="USD",INDEX('Dólar Spot'!$C:$C,MATCH(Base!$G3,'Dólar Spot'!$A:$A,0)),"")</f>
        <v>3.1341000000000001</v>
      </c>
      <c r="L3" s="8">
        <v>500000000</v>
      </c>
      <c r="M3" s="7">
        <f>IF(N3="USD",L3*K3/1000000,L3/1000000)</f>
        <v>1567.05</v>
      </c>
      <c r="N3" s="6" t="s">
        <v>16</v>
      </c>
      <c r="O3" s="9" t="str" cm="1">
        <f t="array" ref="O3">INDEX(Ratings!$B$2:$L$42,_xlfn.XMATCH(Base!E3,Ratings!$A$2:$A$42),_xlfn.XMATCH(YEAR(Base!G3),Ratings!$B$1:$L$1))</f>
        <v>BB</v>
      </c>
      <c r="P3">
        <f>IF(AND(O3&lt;&gt;"BBB-",O3&lt;&gt;"BBB",O3&lt;&gt;"BBB+"),0,1)</f>
        <v>0</v>
      </c>
      <c r="Q3" s="7">
        <f>INDEX('Bonds ANBIMA'!$F:$F,MATCH(Base!$B3,'Bonds ANBIMA'!$A:$A,0))</f>
        <v>2664.0614999999998</v>
      </c>
      <c r="R3" s="21">
        <f>INDEX('Bonds ANBIMA'!$H:$H,MATCH(Base!$B3,'Bonds ANBIMA'!$A:$A,0))</f>
        <v>0.91666666666666663</v>
      </c>
      <c r="S3" s="7">
        <f>INDEX('Debêntures ANBIMA'!$O:$O,MATCH(Base!$B3,'Debêntures ANBIMA'!$A:$A,0))</f>
        <v>205.69069620833338</v>
      </c>
      <c r="T3" s="24">
        <f>INDEX('Debêntures ANBIMA'!$P:$P,MATCH(Base!$B3,'Debêntures ANBIMA'!$A:$A,0))</f>
        <v>0.45742910467193804</v>
      </c>
    </row>
    <row r="4" spans="1:20" x14ac:dyDescent="0.35">
      <c r="A4">
        <f>YEAR(B4)</f>
        <v>2020</v>
      </c>
      <c r="B4" s="12">
        <f>DATE(YEAR(G4),MONTH(G4),DAY(1))</f>
        <v>44136</v>
      </c>
      <c r="C4">
        <f>IF(E4&lt;&gt;E3,C3+1,C3)</f>
        <v>1</v>
      </c>
      <c r="D4" s="6" t="s">
        <v>295</v>
      </c>
      <c r="E4" s="6" t="s">
        <v>12</v>
      </c>
      <c r="F4" s="6" t="s">
        <v>346</v>
      </c>
      <c r="G4" s="1">
        <v>44150</v>
      </c>
      <c r="H4" s="1">
        <v>46371</v>
      </c>
      <c r="I4" s="7">
        <f>IF(H4-G4&gt;(365*5),1,0)</f>
        <v>1</v>
      </c>
      <c r="J4" s="6">
        <v>1</v>
      </c>
      <c r="K4" s="9" t="str">
        <f>IF($N4="USD",INDEX('Dólar Spot'!$C:$C,MATCH(Base!$G4,'Dólar Spot'!$A:$A,0)),"")</f>
        <v/>
      </c>
      <c r="L4" s="8">
        <v>400000000</v>
      </c>
      <c r="M4" s="7">
        <f>IF(N4="USD",L4*K4/1000000,L4/1000000)</f>
        <v>400</v>
      </c>
      <c r="N4" s="6" t="s">
        <v>347</v>
      </c>
      <c r="O4" s="9" t="str" cm="1">
        <f t="array" ref="O4">INDEX(Ratings!$B$2:$L$42,_xlfn.XMATCH(Base!E4,Ratings!$A$2:$A$42),_xlfn.XMATCH(YEAR(Base!G4),Ratings!$B$1:$L$1))</f>
        <v>BB</v>
      </c>
      <c r="P4">
        <f>IF(AND(O4&lt;&gt;"BBB-",O4&lt;&gt;"BBB",O4&lt;&gt;"BBB+"),0,1)</f>
        <v>0</v>
      </c>
      <c r="Q4" s="7">
        <f>INDEX('Bonds ANBIMA'!$F:$F,MATCH(Base!$B4,'Bonds ANBIMA'!$A:$A,0))</f>
        <v>2347.4684999999999</v>
      </c>
      <c r="R4" s="21">
        <f>INDEX('Bonds ANBIMA'!$H:$H,MATCH(Base!$B4,'Bonds ANBIMA'!$A:$A,0))</f>
        <v>0.72727272727272729</v>
      </c>
      <c r="S4" s="7">
        <f>INDEX('Debêntures ANBIMA'!$O:$O,MATCH(Base!$B4,'Debêntures ANBIMA'!$A:$A,0))</f>
        <v>422.12423076923073</v>
      </c>
      <c r="T4" s="24">
        <f>INDEX('Debêntures ANBIMA'!$P:$P,MATCH(Base!$B4,'Debêntures ANBIMA'!$A:$A,0))</f>
        <v>0.74161267158767152</v>
      </c>
    </row>
    <row r="5" spans="1:20" x14ac:dyDescent="0.35">
      <c r="A5">
        <f>YEAR(B5)</f>
        <v>2017</v>
      </c>
      <c r="B5" s="12">
        <f>DATE(YEAR(G5),MONTH(G5),DAY(1))</f>
        <v>43009</v>
      </c>
      <c r="C5">
        <f>IF(E5&lt;&gt;E4,C4+1,C4)</f>
        <v>2</v>
      </c>
      <c r="D5" s="6" t="s">
        <v>18</v>
      </c>
      <c r="E5" s="6" t="s">
        <v>17</v>
      </c>
      <c r="F5" s="6" t="s">
        <v>233</v>
      </c>
      <c r="G5" s="1">
        <v>43018</v>
      </c>
      <c r="H5" s="1" t="s">
        <v>19</v>
      </c>
      <c r="I5" s="7">
        <f>IF(H5-G5&gt;(365*5),1,0)</f>
        <v>1</v>
      </c>
      <c r="J5" s="22">
        <v>0</v>
      </c>
      <c r="K5" s="9">
        <f>IF($N5="USD",INDEX('Dólar Spot'!$C:$C,MATCH(Base!$G5,'Dólar Spot'!$A:$A,0)),"")</f>
        <v>3.1682000000000001</v>
      </c>
      <c r="L5" s="8">
        <v>400000000</v>
      </c>
      <c r="M5" s="7">
        <f>IF(N5="USD",L5*K5/1000000,L5/1000000)</f>
        <v>1267.28</v>
      </c>
      <c r="N5" s="6" t="s">
        <v>16</v>
      </c>
      <c r="O5" s="9" t="str" cm="1">
        <f t="array" ref="O5">INDEX(Ratings!$B$2:$L$42,_xlfn.XMATCH(Base!E5,Ratings!$A$2:$A$42),_xlfn.XMATCH(YEAR(Base!G5),Ratings!$B$1:$L$1))</f>
        <v>BB</v>
      </c>
      <c r="P5">
        <f>IF(AND(O5&lt;&gt;"BBB-",O5&lt;&gt;"BBB",O5&lt;&gt;"BBB+"),0,1)</f>
        <v>0</v>
      </c>
      <c r="Q5" s="7">
        <f>INDEX('Bonds ANBIMA'!$F:$F,MATCH(Base!$B5,'Bonds ANBIMA'!$A:$A,0))</f>
        <v>3031.1061904761905</v>
      </c>
      <c r="R5" s="21">
        <f>INDEX('Bonds ANBIMA'!$H:$H,MATCH(Base!$B5,'Bonds ANBIMA'!$A:$A,0))</f>
        <v>0.9</v>
      </c>
      <c r="S5" s="7">
        <f>INDEX('Debêntures ANBIMA'!$O:$O,MATCH(Base!$B5,'Debêntures ANBIMA'!$A:$A,0))</f>
        <v>357.79854054054056</v>
      </c>
      <c r="T5" s="24">
        <f>INDEX('Debêntures ANBIMA'!$P:$P,MATCH(Base!$B5,'Debêntures ANBIMA'!$A:$A,0))</f>
        <v>0.81983307170430497</v>
      </c>
    </row>
    <row r="6" spans="1:20" x14ac:dyDescent="0.35">
      <c r="A6">
        <f>YEAR(B6)</f>
        <v>2012</v>
      </c>
      <c r="B6" s="12">
        <f>DATE(YEAR(G6),MONTH(G6),DAY(1))</f>
        <v>41183</v>
      </c>
      <c r="C6">
        <f>IF(E6&lt;&gt;E5,C5+1,C5)</f>
        <v>2</v>
      </c>
      <c r="D6" s="6" t="s">
        <v>296</v>
      </c>
      <c r="E6" s="6" t="s">
        <v>17</v>
      </c>
      <c r="F6" s="6" t="s">
        <v>346</v>
      </c>
      <c r="G6" s="1">
        <v>41212</v>
      </c>
      <c r="H6" s="1">
        <v>41572</v>
      </c>
      <c r="I6" s="7">
        <f>IF(H6-G6&gt;(365*5),1,0)</f>
        <v>0</v>
      </c>
      <c r="J6" s="6">
        <v>0</v>
      </c>
      <c r="K6" s="9" t="str">
        <f>IF($N6="USD",INDEX('Dólar Spot'!$C:$C,MATCH(Base!$G6,'Dólar Spot'!$A:$A,0)),"")</f>
        <v/>
      </c>
      <c r="L6" s="8">
        <v>150000000</v>
      </c>
      <c r="M6" s="7">
        <f>IF(N6="USD",L6*K6/1000000,L6/1000000)</f>
        <v>150</v>
      </c>
      <c r="N6" s="6" t="s">
        <v>348</v>
      </c>
      <c r="O6" s="9" t="str" cm="1">
        <f t="array" ref="O6">INDEX(Ratings!$B$2:$L$42,_xlfn.XMATCH(Base!E6,Ratings!$A$2:$A$42),_xlfn.XMATCH(YEAR(Base!G6),Ratings!$B$1:$L$1))</f>
        <v>NR</v>
      </c>
      <c r="P6">
        <f>IF(AND(O6&lt;&gt;"BBB-",O6&lt;&gt;"BBB",O6&lt;&gt;"BBB+"),0,1)</f>
        <v>0</v>
      </c>
      <c r="Q6" s="7">
        <f>INDEX('Bonds ANBIMA'!$F:$F,MATCH(Base!$B6,'Bonds ANBIMA'!$A:$A,0))</f>
        <v>1632.749181818182</v>
      </c>
      <c r="R6" s="21">
        <f>INDEX('Bonds ANBIMA'!$H:$H,MATCH(Base!$B6,'Bonds ANBIMA'!$A:$A,0))</f>
        <v>0.81690140845070425</v>
      </c>
      <c r="S6" s="7">
        <f>INDEX('Debêntures ANBIMA'!$O:$O,MATCH(Base!$B6,'Debêntures ANBIMA'!$A:$A,0))</f>
        <v>566.09934693877551</v>
      </c>
      <c r="T6" s="24">
        <f>INDEX('Debêntures ANBIMA'!$P:$P,MATCH(Base!$B6,'Debêntures ANBIMA'!$A:$A,0))</f>
        <v>0.94180052548270043</v>
      </c>
    </row>
    <row r="7" spans="1:20" x14ac:dyDescent="0.35">
      <c r="A7">
        <f>YEAR(B7)</f>
        <v>2013</v>
      </c>
      <c r="B7" s="12">
        <f>DATE(YEAR(G7),MONTH(G7),DAY(1))</f>
        <v>41548</v>
      </c>
      <c r="C7">
        <f>IF(E7&lt;&gt;E6,C6+1,C6)</f>
        <v>2</v>
      </c>
      <c r="D7" s="6" t="s">
        <v>296</v>
      </c>
      <c r="E7" s="6" t="s">
        <v>17</v>
      </c>
      <c r="F7" s="6" t="s">
        <v>346</v>
      </c>
      <c r="G7" s="1">
        <v>41572</v>
      </c>
      <c r="H7" s="1">
        <v>42119</v>
      </c>
      <c r="I7" s="7">
        <f>IF(H7-G7&gt;(365*5),1,0)</f>
        <v>0</v>
      </c>
      <c r="J7" s="6">
        <v>0</v>
      </c>
      <c r="K7" s="9" t="str">
        <f>IF($N7="USD",INDEX('Dólar Spot'!$C:$C,MATCH(Base!$G7,'Dólar Spot'!$A:$A,0)),"")</f>
        <v/>
      </c>
      <c r="L7" s="8">
        <v>150000000</v>
      </c>
      <c r="M7" s="7">
        <f>IF(N7="USD",L7*K7/1000000,L7/1000000)</f>
        <v>150</v>
      </c>
      <c r="N7" s="6" t="s">
        <v>348</v>
      </c>
      <c r="O7" s="9" t="str" cm="1">
        <f t="array" ref="O7">INDEX(Ratings!$B$2:$L$42,_xlfn.XMATCH(Base!E7,Ratings!$A$2:$A$42),_xlfn.XMATCH(YEAR(Base!G7),Ratings!$B$1:$L$1))</f>
        <v>NR</v>
      </c>
      <c r="P7">
        <f>IF(AND(O7&lt;&gt;"BBB-",O7&lt;&gt;"BBB",O7&lt;&gt;"BBB+"),0,1)</f>
        <v>0</v>
      </c>
      <c r="Q7" s="7">
        <f>INDEX('Bonds ANBIMA'!$F:$F,MATCH(Base!$B7,'Bonds ANBIMA'!$A:$A,0))</f>
        <v>2318.6105608695661</v>
      </c>
      <c r="R7" s="21">
        <f>INDEX('Bonds ANBIMA'!$H:$H,MATCH(Base!$B7,'Bonds ANBIMA'!$A:$A,0))</f>
        <v>0.61224489795918369</v>
      </c>
      <c r="S7" s="7">
        <f>INDEX('Debêntures ANBIMA'!$O:$O,MATCH(Base!$B7,'Debêntures ANBIMA'!$A:$A,0))</f>
        <v>166.30222222222224</v>
      </c>
      <c r="T7" s="24">
        <f>INDEX('Debêntures ANBIMA'!$P:$P,MATCH(Base!$B7,'Debêntures ANBIMA'!$A:$A,0))</f>
        <v>0.80152212601508743</v>
      </c>
    </row>
    <row r="8" spans="1:20" x14ac:dyDescent="0.35">
      <c r="A8">
        <f>YEAR(B8)</f>
        <v>2018</v>
      </c>
      <c r="B8" s="12">
        <f>DATE(YEAR(G8),MONTH(G8),DAY(1))</f>
        <v>43282</v>
      </c>
      <c r="C8">
        <f>IF(E8&lt;&gt;E7,C7+1,C7)</f>
        <v>2</v>
      </c>
      <c r="D8" s="6" t="s">
        <v>296</v>
      </c>
      <c r="E8" s="6" t="s">
        <v>17</v>
      </c>
      <c r="F8" s="6" t="s">
        <v>346</v>
      </c>
      <c r="G8" s="1">
        <v>43296</v>
      </c>
      <c r="H8" s="1">
        <v>45122</v>
      </c>
      <c r="I8" s="7">
        <f>IF(H8-G8&gt;(365*5),1,0)</f>
        <v>1</v>
      </c>
      <c r="J8" s="6">
        <v>1</v>
      </c>
      <c r="K8" s="9" t="str">
        <f>IF($N8="USD",INDEX('Dólar Spot'!$C:$C,MATCH(Base!$G8,'Dólar Spot'!$A:$A,0)),"")</f>
        <v/>
      </c>
      <c r="L8" s="8">
        <v>533500000</v>
      </c>
      <c r="M8" s="7">
        <f>IF(N8="USD",L8*K8/1000000,L8/1000000)</f>
        <v>533.5</v>
      </c>
      <c r="N8" s="6" t="s">
        <v>348</v>
      </c>
      <c r="O8" s="9" t="str" cm="1">
        <f t="array" ref="O8">INDEX(Ratings!$B$2:$L$42,_xlfn.XMATCH(Base!E8,Ratings!$A$2:$A$42),_xlfn.XMATCH(YEAR(Base!G8),Ratings!$B$1:$L$1))</f>
        <v>BB</v>
      </c>
      <c r="P8">
        <f>IF(AND(O8&lt;&gt;"BBB-",O8&lt;&gt;"BBB",O8&lt;&gt;"BBB+"),0,1)</f>
        <v>0</v>
      </c>
      <c r="Q8" s="7">
        <f>INDEX('Bonds ANBIMA'!$F:$F,MATCH(Base!$B8,'Bonds ANBIMA'!$A:$A,0))</f>
        <v>1914.0681818181818</v>
      </c>
      <c r="R8" s="21">
        <f>INDEX('Bonds ANBIMA'!$H:$H,MATCH(Base!$B8,'Bonds ANBIMA'!$A:$A,0))</f>
        <v>0.73699999999999999</v>
      </c>
      <c r="S8" s="7">
        <f>INDEX('Debêntures ANBIMA'!$O:$O,MATCH(Base!$B8,'Debêntures ANBIMA'!$A:$A,0))</f>
        <v>260.23234615384615</v>
      </c>
      <c r="T8" s="24">
        <f>INDEX('Debêntures ANBIMA'!$P:$P,MATCH(Base!$B8,'Debêntures ANBIMA'!$A:$A,0))</f>
        <v>0.70197854754297362</v>
      </c>
    </row>
    <row r="9" spans="1:20" x14ac:dyDescent="0.35">
      <c r="A9">
        <f>YEAR(B9)</f>
        <v>2020</v>
      </c>
      <c r="B9" s="12">
        <f>DATE(YEAR(G9),MONTH(G9),DAY(1))</f>
        <v>43862</v>
      </c>
      <c r="C9">
        <f>IF(E9&lt;&gt;E8,C8+1,C8)</f>
        <v>2</v>
      </c>
      <c r="D9" s="6" t="s">
        <v>296</v>
      </c>
      <c r="E9" s="6" t="s">
        <v>17</v>
      </c>
      <c r="F9" s="6" t="s">
        <v>346</v>
      </c>
      <c r="G9" s="1">
        <v>43866</v>
      </c>
      <c r="H9" s="1">
        <v>45693</v>
      </c>
      <c r="I9" s="7">
        <f>IF(H9-G9&gt;(365*5),1,0)</f>
        <v>1</v>
      </c>
      <c r="J9" s="6">
        <v>1</v>
      </c>
      <c r="K9" s="9" t="str">
        <f>IF($N9="USD",INDEX('Dólar Spot'!$C:$C,MATCH(Base!$G9,'Dólar Spot'!$A:$A,0)),"")</f>
        <v/>
      </c>
      <c r="L9" s="8">
        <v>305000000</v>
      </c>
      <c r="M9" s="7">
        <f>IF(N9="USD",L9*K9/1000000,L9/1000000)</f>
        <v>305</v>
      </c>
      <c r="N9" s="6" t="s">
        <v>348</v>
      </c>
      <c r="O9" s="9" t="str" cm="1">
        <f t="array" ref="O9">INDEX(Ratings!$B$2:$L$42,_xlfn.XMATCH(Base!E9,Ratings!$A$2:$A$42),_xlfn.XMATCH(YEAR(Base!G9),Ratings!$B$1:$L$1))</f>
        <v>BB</v>
      </c>
      <c r="P9">
        <f>IF(AND(O9&lt;&gt;"BBB-",O9&lt;&gt;"BBB",O9&lt;&gt;"BBB+"),0,1)</f>
        <v>0</v>
      </c>
      <c r="Q9" s="7">
        <f>INDEX('Bonds ANBIMA'!$F:$F,MATCH(Base!$B9,'Bonds ANBIMA'!$A:$A,0))</f>
        <v>3472.3288888888887</v>
      </c>
      <c r="R9" s="21">
        <f>INDEX('Bonds ANBIMA'!$H:$H,MATCH(Base!$B9,'Bonds ANBIMA'!$A:$A,0))</f>
        <v>0.75</v>
      </c>
      <c r="S9" s="7">
        <f>INDEX('Debêntures ANBIMA'!$O:$O,MATCH(Base!$B9,'Debêntures ANBIMA'!$A:$A,0))</f>
        <v>180.88750000000002</v>
      </c>
      <c r="T9" s="24">
        <f>INDEX('Debêntures ANBIMA'!$P:$P,MATCH(Base!$B9,'Debêntures ANBIMA'!$A:$A,0))</f>
        <v>0.60583194503424476</v>
      </c>
    </row>
    <row r="10" spans="1:20" x14ac:dyDescent="0.35">
      <c r="A10">
        <f>YEAR(B10)</f>
        <v>2020</v>
      </c>
      <c r="B10" s="12">
        <f>DATE(YEAR(G10),MONTH(G10),DAY(1))</f>
        <v>44075</v>
      </c>
      <c r="C10">
        <f>IF(E10&lt;&gt;E9,C9+1,C9)</f>
        <v>2</v>
      </c>
      <c r="D10" s="6" t="s">
        <v>296</v>
      </c>
      <c r="E10" s="6" t="s">
        <v>17</v>
      </c>
      <c r="F10" s="6" t="s">
        <v>346</v>
      </c>
      <c r="G10" s="1">
        <v>44085</v>
      </c>
      <c r="H10" s="1">
        <v>45180</v>
      </c>
      <c r="I10" s="7">
        <f>IF(H10-G10&gt;(365*5),1,0)</f>
        <v>0</v>
      </c>
      <c r="J10" s="6">
        <v>1</v>
      </c>
      <c r="K10" s="9" t="str">
        <f>IF($N10="USD",INDEX('Dólar Spot'!$C:$C,MATCH(Base!$G10,'Dólar Spot'!$A:$A,0)),"")</f>
        <v/>
      </c>
      <c r="L10" s="8">
        <v>300000000</v>
      </c>
      <c r="M10" s="7">
        <f>IF(N10="USD",L10*K10/1000000,L10/1000000)</f>
        <v>300</v>
      </c>
      <c r="N10" s="6" t="s">
        <v>348</v>
      </c>
      <c r="O10" s="9" t="str" cm="1">
        <f t="array" ref="O10">INDEX(Ratings!$B$2:$L$42,_xlfn.XMATCH(Base!E10,Ratings!$A$2:$A$42),_xlfn.XMATCH(YEAR(Base!G10),Ratings!$B$1:$L$1))</f>
        <v>BB</v>
      </c>
      <c r="P10">
        <f>IF(AND(O10&lt;&gt;"BBB-",O10&lt;&gt;"BBB",O10&lt;&gt;"BBB+"),0,1)</f>
        <v>0</v>
      </c>
      <c r="Q10" s="7">
        <f>INDEX('Bonds ANBIMA'!$F:$F,MATCH(Base!$B10,'Bonds ANBIMA'!$A:$A,0))</f>
        <v>3599.2539682539682</v>
      </c>
      <c r="R10" s="21">
        <f>INDEX('Bonds ANBIMA'!$H:$H,MATCH(Base!$B10,'Bonds ANBIMA'!$A:$A,0))</f>
        <v>0.70370370370370372</v>
      </c>
      <c r="S10" s="7">
        <f>INDEX('Debêntures ANBIMA'!$O:$O,MATCH(Base!$B10,'Debêntures ANBIMA'!$A:$A,0))</f>
        <v>312.55047368421054</v>
      </c>
      <c r="T10" s="24">
        <f>INDEX('Debêntures ANBIMA'!$P:$P,MATCH(Base!$B10,'Debêntures ANBIMA'!$A:$A,0))</f>
        <v>0.90771570084636288</v>
      </c>
    </row>
    <row r="11" spans="1:20" x14ac:dyDescent="0.35">
      <c r="A11">
        <f>YEAR(B11)</f>
        <v>2021</v>
      </c>
      <c r="B11" s="12">
        <f>DATE(YEAR(G11),MONTH(G11),DAY(1))</f>
        <v>44287</v>
      </c>
      <c r="C11">
        <f>IF(E11&lt;&gt;E10,C10+1,C10)</f>
        <v>2</v>
      </c>
      <c r="D11" s="6" t="s">
        <v>296</v>
      </c>
      <c r="E11" s="6" t="s">
        <v>17</v>
      </c>
      <c r="F11" s="6" t="s">
        <v>346</v>
      </c>
      <c r="G11" s="1">
        <v>44298</v>
      </c>
      <c r="H11" s="1">
        <v>46489</v>
      </c>
      <c r="I11" s="7">
        <f>IF(H11-G11&gt;(365*5),1,0)</f>
        <v>1</v>
      </c>
      <c r="J11" s="6">
        <v>1</v>
      </c>
      <c r="K11" s="9" t="str">
        <f>IF($N11="USD",INDEX('Dólar Spot'!$C:$C,MATCH(Base!$G11,'Dólar Spot'!$A:$A,0)),"")</f>
        <v/>
      </c>
      <c r="L11" s="8">
        <v>400000000</v>
      </c>
      <c r="M11" s="7">
        <f>IF(N11="USD",L11*K11/1000000,L11/1000000)</f>
        <v>400</v>
      </c>
      <c r="N11" s="6" t="s">
        <v>348</v>
      </c>
      <c r="O11" s="9" t="str" cm="1">
        <f t="array" ref="O11">INDEX(Ratings!$B$2:$L$42,_xlfn.XMATCH(Base!E11,Ratings!$A$2:$A$42),_xlfn.XMATCH(YEAR(Base!G11),Ratings!$B$1:$L$1))</f>
        <v>BB</v>
      </c>
      <c r="P11">
        <f>IF(AND(O11&lt;&gt;"BBB-",O11&lt;&gt;"BBB",O11&lt;&gt;"BBB+"),0,1)</f>
        <v>0</v>
      </c>
      <c r="Q11" s="7">
        <f>INDEX('Bonds ANBIMA'!$F:$F,MATCH(Base!$B11,'Bonds ANBIMA'!$A:$A,0))</f>
        <v>0</v>
      </c>
      <c r="R11" s="21">
        <f>INDEX('Bonds ANBIMA'!$H:$H,MATCH(Base!$B11,'Bonds ANBIMA'!$A:$A,0))</f>
        <v>0.83333333333333337</v>
      </c>
      <c r="S11" s="7">
        <f>INDEX('Debêntures ANBIMA'!$O:$O,MATCH(Base!$B11,'Debêntures ANBIMA'!$A:$A,0))</f>
        <v>416.84068888888891</v>
      </c>
      <c r="T11" s="24">
        <f>INDEX('Debêntures ANBIMA'!$P:$P,MATCH(Base!$B11,'Debêntures ANBIMA'!$A:$A,0))</f>
        <v>0.8175482670039157</v>
      </c>
    </row>
    <row r="12" spans="1:20" x14ac:dyDescent="0.35">
      <c r="A12">
        <f>YEAR(B12)</f>
        <v>2021</v>
      </c>
      <c r="B12" s="12">
        <f>DATE(YEAR(G12),MONTH(G12),DAY(1))</f>
        <v>44470</v>
      </c>
      <c r="C12">
        <f>IF(E12&lt;&gt;E11,C11+1,C11)</f>
        <v>2</v>
      </c>
      <c r="D12" s="6" t="s">
        <v>296</v>
      </c>
      <c r="E12" s="6" t="s">
        <v>17</v>
      </c>
      <c r="F12" s="6" t="s">
        <v>346</v>
      </c>
      <c r="G12" s="1">
        <v>44473</v>
      </c>
      <c r="H12" s="1">
        <v>47030</v>
      </c>
      <c r="I12" s="7">
        <f>IF(H12-G12&gt;(365*5),1,0)</f>
        <v>1</v>
      </c>
      <c r="J12" s="6">
        <v>1</v>
      </c>
      <c r="K12" s="9" t="str">
        <f>IF($N12="USD",INDEX('Dólar Spot'!$C:$C,MATCH(Base!$G12,'Dólar Spot'!$A:$A,0)),"")</f>
        <v/>
      </c>
      <c r="L12" s="8">
        <v>800000000</v>
      </c>
      <c r="M12" s="7">
        <f>IF(N12="USD",L12*K12/1000000,L12/1000000)</f>
        <v>800</v>
      </c>
      <c r="N12" s="6" t="s">
        <v>348</v>
      </c>
      <c r="O12" s="9" t="str" cm="1">
        <f t="array" ref="O12">INDEX(Ratings!$B$2:$L$42,_xlfn.XMATCH(Base!E12,Ratings!$A$2:$A$42),_xlfn.XMATCH(YEAR(Base!G12),Ratings!$B$1:$L$1))</f>
        <v>BB</v>
      </c>
      <c r="P12">
        <f>IF(AND(O12&lt;&gt;"BBB-",O12&lt;&gt;"BBB",O12&lt;&gt;"BBB+"),0,1)</f>
        <v>0</v>
      </c>
      <c r="Q12" s="7">
        <f>INDEX('Bonds ANBIMA'!$F:$F,MATCH(Base!$B12,'Bonds ANBIMA'!$A:$A,0))</f>
        <v>830.90625000000023</v>
      </c>
      <c r="R12" s="21">
        <f>INDEX('Bonds ANBIMA'!$H:$H,MATCH(Base!$B12,'Bonds ANBIMA'!$A:$A,0))</f>
        <v>0.72727272727272729</v>
      </c>
      <c r="S12" s="7">
        <f>INDEX('Debêntures ANBIMA'!$O:$O,MATCH(Base!$B12,'Debêntures ANBIMA'!$A:$A,0))</f>
        <v>433.14238554216865</v>
      </c>
      <c r="T12" s="24">
        <f>INDEX('Debêntures ANBIMA'!$P:$P,MATCH(Base!$B12,'Debêntures ANBIMA'!$A:$A,0))</f>
        <v>0.92091969370314131</v>
      </c>
    </row>
    <row r="13" spans="1:20" x14ac:dyDescent="0.35">
      <c r="A13">
        <f>YEAR(B13)</f>
        <v>2018</v>
      </c>
      <c r="B13" s="12">
        <f>DATE(YEAR(G13),MONTH(G13),DAY(1))</f>
        <v>43282</v>
      </c>
      <c r="C13">
        <f>IF(E13&lt;&gt;E12,C12+1,C12)</f>
        <v>2</v>
      </c>
      <c r="D13" s="6" t="s">
        <v>296</v>
      </c>
      <c r="E13" s="6" t="s">
        <v>17</v>
      </c>
      <c r="F13" s="6" t="s">
        <v>346</v>
      </c>
      <c r="G13" s="1">
        <v>43296</v>
      </c>
      <c r="H13" s="1">
        <v>45853</v>
      </c>
      <c r="I13" s="7">
        <f>IF(H13-G13&gt;(365*5),1,0)</f>
        <v>1</v>
      </c>
      <c r="J13" s="6">
        <v>1</v>
      </c>
      <c r="K13" s="9" t="str">
        <f>IF($N13="USD",INDEX('Dólar Spot'!$C:$C,MATCH(Base!$G13,'Dólar Spot'!$A:$A,0)),"")</f>
        <v/>
      </c>
      <c r="L13" s="8">
        <v>66500000</v>
      </c>
      <c r="M13" s="7">
        <f>IF(N13="USD",L13*K13/1000000,L13/1000000)</f>
        <v>66.5</v>
      </c>
      <c r="N13" s="6" t="s">
        <v>347</v>
      </c>
      <c r="O13" s="9" t="str" cm="1">
        <f t="array" ref="O13">INDEX(Ratings!$B$2:$L$42,_xlfn.XMATCH(Base!E13,Ratings!$A$2:$A$42),_xlfn.XMATCH(YEAR(Base!G13),Ratings!$B$1:$L$1))</f>
        <v>BB</v>
      </c>
      <c r="P13">
        <f>IF(AND(O13&lt;&gt;"BBB-",O13&lt;&gt;"BBB",O13&lt;&gt;"BBB+"),0,1)</f>
        <v>0</v>
      </c>
      <c r="Q13" s="7">
        <f>INDEX('Bonds ANBIMA'!$F:$F,MATCH(Base!$B13,'Bonds ANBIMA'!$A:$A,0))</f>
        <v>1914.0681818181818</v>
      </c>
      <c r="R13" s="21">
        <f>INDEX('Bonds ANBIMA'!$H:$H,MATCH(Base!$B13,'Bonds ANBIMA'!$A:$A,0))</f>
        <v>0.73699999999999999</v>
      </c>
      <c r="S13" s="7">
        <f>INDEX('Debêntures ANBIMA'!$O:$O,MATCH(Base!$B13,'Debêntures ANBIMA'!$A:$A,0))</f>
        <v>260.23234615384615</v>
      </c>
      <c r="T13" s="24">
        <f>INDEX('Debêntures ANBIMA'!$P:$P,MATCH(Base!$B13,'Debêntures ANBIMA'!$A:$A,0))</f>
        <v>0.70197854754297362</v>
      </c>
    </row>
    <row r="14" spans="1:20" x14ac:dyDescent="0.35">
      <c r="A14">
        <f>YEAR(B14)</f>
        <v>2012</v>
      </c>
      <c r="B14" s="12">
        <f>DATE(YEAR(G14),MONTH(G14),DAY(1))</f>
        <v>41061</v>
      </c>
      <c r="C14">
        <f>IF(E14&lt;&gt;E13,C13+1,C13)</f>
        <v>3</v>
      </c>
      <c r="D14" s="6" t="s">
        <v>297</v>
      </c>
      <c r="E14" s="6" t="s">
        <v>20</v>
      </c>
      <c r="F14" s="6" t="s">
        <v>346</v>
      </c>
      <c r="G14" s="1">
        <v>41073</v>
      </c>
      <c r="H14" s="1">
        <v>42899</v>
      </c>
      <c r="I14" s="7">
        <f>IF(H14-G14&gt;(365*5),1,0)</f>
        <v>1</v>
      </c>
      <c r="J14" s="6">
        <v>0</v>
      </c>
      <c r="K14" s="9" t="str">
        <f>IF($N14="USD",INDEX('Dólar Spot'!$C:$C,MATCH(Base!$G16,'Dólar Spot'!$A:$A,0)),"")</f>
        <v/>
      </c>
      <c r="L14" s="8">
        <v>300000000</v>
      </c>
      <c r="M14" s="7">
        <f>IF(N14="USD",L14*K14/1000000,L14/1000000)</f>
        <v>300</v>
      </c>
      <c r="N14" s="6" t="s">
        <v>348</v>
      </c>
      <c r="O14" s="9" t="str" cm="1">
        <f t="array" ref="O14">INDEX(Ratings!$B$2:$L$42,_xlfn.XMATCH(Base!E16,Ratings!$A$2:$A$42),_xlfn.XMATCH(YEAR(Base!G16),Ratings!$B$1:$L$1))</f>
        <v>NR</v>
      </c>
      <c r="P14">
        <f>IF(AND(O14&lt;&gt;"BBB-",O14&lt;&gt;"BBB",O14&lt;&gt;"BBB+"),0,1)</f>
        <v>0</v>
      </c>
      <c r="Q14" s="7">
        <f>INDEX('Bonds ANBIMA'!$F:$F,MATCH(Base!$B16,'Bonds ANBIMA'!$A:$A,0))</f>
        <v>0</v>
      </c>
      <c r="R14" s="21">
        <f>INDEX('Bonds ANBIMA'!$H:$H,MATCH(Base!$B16,'Bonds ANBIMA'!$A:$A,0))</f>
        <v>0.77777777777777779</v>
      </c>
      <c r="S14" s="7">
        <f>INDEX('Debêntures ANBIMA'!$O:$O,MATCH(Base!$B16,'Debêntures ANBIMA'!$A:$A,0))</f>
        <v>283.18045185185184</v>
      </c>
      <c r="T14" s="24">
        <f>INDEX('Debêntures ANBIMA'!$P:$P,MATCH(Base!$B16,'Debêntures ANBIMA'!$A:$A,0))</f>
        <v>0.53282420541151609</v>
      </c>
    </row>
    <row r="15" spans="1:20" x14ac:dyDescent="0.35">
      <c r="A15">
        <f>YEAR(B15)</f>
        <v>2020</v>
      </c>
      <c r="B15" s="12">
        <f>DATE(YEAR(G15),MONTH(G15),DAY(1))</f>
        <v>44136</v>
      </c>
      <c r="C15">
        <f>IF(E15&lt;&gt;E14,C14+1,C14)</f>
        <v>3</v>
      </c>
      <c r="D15" s="6" t="s">
        <v>297</v>
      </c>
      <c r="E15" s="6" t="s">
        <v>20</v>
      </c>
      <c r="F15" s="6" t="s">
        <v>346</v>
      </c>
      <c r="G15" s="1">
        <v>44150</v>
      </c>
      <c r="H15" s="1">
        <v>47832</v>
      </c>
      <c r="I15" s="7">
        <f>IF(H15-G15&gt;(365*5),1,0)</f>
        <v>1</v>
      </c>
      <c r="J15" s="6">
        <v>1</v>
      </c>
      <c r="K15" s="9" t="str">
        <f>IF($N15="USD",INDEX('Dólar Spot'!$C:$C,MATCH(Base!$G17,'Dólar Spot'!$A:$A,0)),"")</f>
        <v/>
      </c>
      <c r="L15" s="8">
        <v>3100000000</v>
      </c>
      <c r="M15" s="7">
        <f>IF(N15="USD",L15*K15/1000000,L15/1000000)</f>
        <v>3100</v>
      </c>
      <c r="N15" s="6" t="s">
        <v>347</v>
      </c>
      <c r="O15" s="9" t="str" cm="1">
        <f t="array" ref="O15">INDEX(Ratings!$B$2:$L$42,_xlfn.XMATCH(Base!E17,Ratings!$A$2:$A$42),_xlfn.XMATCH(YEAR(Base!G17),Ratings!$B$1:$L$1))</f>
        <v>NR</v>
      </c>
      <c r="P15">
        <f>IF(AND(O15&lt;&gt;"BBB-",O15&lt;&gt;"BBB",O15&lt;&gt;"BBB+"),0,1)</f>
        <v>0</v>
      </c>
      <c r="Q15" s="7">
        <f>INDEX('Bonds ANBIMA'!$F:$F,MATCH(Base!$B17,'Bonds ANBIMA'!$A:$A,0))</f>
        <v>1552.9563205128206</v>
      </c>
      <c r="R15" s="21">
        <f>INDEX('Bonds ANBIMA'!$H:$H,MATCH(Base!$B17,'Bonds ANBIMA'!$A:$A,0))</f>
        <v>0.5862068965517242</v>
      </c>
      <c r="S15" s="7">
        <f>INDEX('Debêntures ANBIMA'!$O:$O,MATCH(Base!$B17,'Debêntures ANBIMA'!$A:$A,0))</f>
        <v>168.07692307692307</v>
      </c>
      <c r="T15" s="24">
        <f>INDEX('Debêntures ANBIMA'!$P:$P,MATCH(Base!$B17,'Debêntures ANBIMA'!$A:$A,0))</f>
        <v>0.67026544622425632</v>
      </c>
    </row>
    <row r="16" spans="1:20" x14ac:dyDescent="0.35">
      <c r="A16">
        <f>YEAR(B16)</f>
        <v>2016</v>
      </c>
      <c r="B16" s="12">
        <f>DATE(YEAR(G16),MONTH(G16),DAY(1))</f>
        <v>42675</v>
      </c>
      <c r="C16">
        <f>IF(E16&lt;&gt;E15,C15+1,C15)</f>
        <v>3</v>
      </c>
      <c r="D16" s="6" t="s">
        <v>297</v>
      </c>
      <c r="E16" s="6" t="s">
        <v>20</v>
      </c>
      <c r="F16" s="6" t="s">
        <v>346</v>
      </c>
      <c r="G16" s="1">
        <v>42695</v>
      </c>
      <c r="H16" s="1">
        <v>43790</v>
      </c>
      <c r="I16" s="7">
        <f>IF(H16-G16&gt;(365*5),1,0)</f>
        <v>0</v>
      </c>
      <c r="J16" s="6">
        <v>0</v>
      </c>
      <c r="K16" s="9" t="str">
        <f>IF($N16="USD",INDEX('Dólar Spot'!$C:$C,MATCH(Base!$G18,'Dólar Spot'!$A:$A,0)),"")</f>
        <v/>
      </c>
      <c r="L16" s="8">
        <v>300000000</v>
      </c>
      <c r="M16" s="7">
        <f>IF(N16="USD",L16*K16/1000000,L16/1000000)</f>
        <v>300</v>
      </c>
      <c r="N16" s="6" t="s">
        <v>348</v>
      </c>
      <c r="O16" s="9" t="str" cm="1">
        <f t="array" ref="O16">INDEX(Ratings!$B$2:$L$42,_xlfn.XMATCH(Base!E18,Ratings!$A$2:$A$42),_xlfn.XMATCH(YEAR(Base!G18),Ratings!$B$1:$L$1))</f>
        <v>NR</v>
      </c>
      <c r="P16">
        <f>IF(AND(O16&lt;&gt;"BBB-",O16&lt;&gt;"BBB",O16&lt;&gt;"BBB+"),0,1)</f>
        <v>0</v>
      </c>
      <c r="Q16" s="7">
        <f>INDEX('Bonds ANBIMA'!$F:$F,MATCH(Base!$B18,'Bonds ANBIMA'!$A:$A,0))</f>
        <v>1439.4307014742017</v>
      </c>
      <c r="R16" s="21">
        <f>INDEX('Bonds ANBIMA'!$H:$H,MATCH(Base!$B18,'Bonds ANBIMA'!$A:$A,0))</f>
        <v>0.81690140845070425</v>
      </c>
      <c r="S16" s="7">
        <f>INDEX('Debêntures ANBIMA'!$O:$O,MATCH(Base!$B18,'Debêntures ANBIMA'!$A:$A,0))</f>
        <v>635.85528947368425</v>
      </c>
      <c r="T16" s="24">
        <f>INDEX('Debêntures ANBIMA'!$P:$P,MATCH(Base!$B18,'Debêntures ANBIMA'!$A:$A,0))</f>
        <v>0.94685980561366556</v>
      </c>
    </row>
    <row r="17" spans="1:20" x14ac:dyDescent="0.35">
      <c r="A17">
        <f>YEAR(B17)</f>
        <v>2011</v>
      </c>
      <c r="B17" s="12">
        <f>DATE(YEAR(G17),MONTH(G17),DAY(1))</f>
        <v>40787</v>
      </c>
      <c r="C17">
        <f>IF(E17&lt;&gt;E16,C16+1,C16)</f>
        <v>3</v>
      </c>
      <c r="D17" s="6" t="s">
        <v>297</v>
      </c>
      <c r="E17" s="6" t="s">
        <v>20</v>
      </c>
      <c r="F17" s="6" t="s">
        <v>346</v>
      </c>
      <c r="G17" s="1">
        <v>40791</v>
      </c>
      <c r="H17" s="1">
        <v>45468</v>
      </c>
      <c r="I17" s="7">
        <f>IF(H17-G17&gt;(365*5),1,0)</f>
        <v>1</v>
      </c>
      <c r="J17" s="6">
        <v>0</v>
      </c>
      <c r="K17" s="9" t="str">
        <f>IF($N17="USD",INDEX('Dólar Spot'!$C:$C,MATCH(Base!$G19,'Dólar Spot'!$A:$A,0)),"")</f>
        <v/>
      </c>
      <c r="L17" s="8">
        <v>500000000</v>
      </c>
      <c r="M17" s="7">
        <f>IF(N17="USD",L17*K17/1000000,L17/1000000)</f>
        <v>500</v>
      </c>
      <c r="N17" s="6" t="s">
        <v>348</v>
      </c>
      <c r="O17" s="9" t="str" cm="1">
        <f t="array" ref="O17">INDEX(Ratings!$B$2:$L$42,_xlfn.XMATCH(Base!E19,Ratings!$A$2:$A$42),_xlfn.XMATCH(YEAR(Base!G19),Ratings!$B$1:$L$1))</f>
        <v>NR</v>
      </c>
      <c r="P17">
        <f>IF(AND(O17&lt;&gt;"BBB-",O17&lt;&gt;"BBB",O17&lt;&gt;"BBB+"),0,1)</f>
        <v>0</v>
      </c>
      <c r="Q17" s="7">
        <f>INDEX('Bonds ANBIMA'!$F:$F,MATCH(Base!$B19,'Bonds ANBIMA'!$A:$A,0))</f>
        <v>1671.3360756756758</v>
      </c>
      <c r="R17" s="21">
        <f>INDEX('Bonds ANBIMA'!$H:$H,MATCH(Base!$B19,'Bonds ANBIMA'!$A:$A,0))</f>
        <v>0.81690140845070425</v>
      </c>
      <c r="S17" s="7">
        <f>INDEX('Debêntures ANBIMA'!$O:$O,MATCH(Base!$B19,'Debêntures ANBIMA'!$A:$A,0))</f>
        <v>384.58057142857143</v>
      </c>
      <c r="T17" s="24">
        <f>INDEX('Debêntures ANBIMA'!$P:$P,MATCH(Base!$B19,'Debêntures ANBIMA'!$A:$A,0))</f>
        <v>0.8593261800811931</v>
      </c>
    </row>
    <row r="18" spans="1:20" x14ac:dyDescent="0.35">
      <c r="A18">
        <f>YEAR(B18)</f>
        <v>2012</v>
      </c>
      <c r="B18" s="12">
        <f>DATE(YEAR(G18),MONTH(G18),DAY(1))</f>
        <v>40909</v>
      </c>
      <c r="C18">
        <f>IF(E18&lt;&gt;E17,C17+1,C17)</f>
        <v>3</v>
      </c>
      <c r="D18" s="6" t="s">
        <v>297</v>
      </c>
      <c r="E18" s="6" t="s">
        <v>20</v>
      </c>
      <c r="F18" s="6" t="s">
        <v>346</v>
      </c>
      <c r="G18" s="1">
        <v>40934</v>
      </c>
      <c r="H18" s="1">
        <v>43126</v>
      </c>
      <c r="I18" s="7">
        <f>IF(H18-G18&gt;(365*5),1,0)</f>
        <v>1</v>
      </c>
      <c r="J18" s="6">
        <v>0</v>
      </c>
      <c r="K18" s="9" t="str">
        <f>IF($N18="USD",INDEX('Dólar Spot'!$C:$C,MATCH(Base!$G20,'Dólar Spot'!$A:$A,0)),"")</f>
        <v/>
      </c>
      <c r="L18" s="8">
        <v>300000000</v>
      </c>
      <c r="M18" s="7">
        <f>IF(N18="USD",L18*K18/1000000,L18/1000000)</f>
        <v>300</v>
      </c>
      <c r="N18" s="6" t="s">
        <v>348</v>
      </c>
      <c r="O18" s="9" t="str" cm="1">
        <f t="array" ref="O18">INDEX(Ratings!$B$2:$L$42,_xlfn.XMATCH(Base!E20,Ratings!$A$2:$A$42),_xlfn.XMATCH(YEAR(Base!G20),Ratings!$B$1:$L$1))</f>
        <v>NR</v>
      </c>
      <c r="P18">
        <f>IF(AND(O18&lt;&gt;"BBB-",O18&lt;&gt;"BBB",O18&lt;&gt;"BBB+"),0,1)</f>
        <v>0</v>
      </c>
      <c r="Q18" s="7">
        <f>INDEX('Bonds ANBIMA'!$F:$F,MATCH(Base!$B20,'Bonds ANBIMA'!$A:$A,0))</f>
        <v>2385.9040014492748</v>
      </c>
      <c r="R18" s="21">
        <f>INDEX('Bonds ANBIMA'!$H:$H,MATCH(Base!$B20,'Bonds ANBIMA'!$A:$A,0))</f>
        <v>0.61224489795918369</v>
      </c>
      <c r="S18" s="7">
        <f>INDEX('Debêntures ANBIMA'!$O:$O,MATCH(Base!$B20,'Debêntures ANBIMA'!$A:$A,0))</f>
        <v>163.828</v>
      </c>
      <c r="T18" s="24">
        <f>INDEX('Debêntures ANBIMA'!$P:$P,MATCH(Base!$B20,'Debêntures ANBIMA'!$A:$A,0))</f>
        <v>0.60531960012117536</v>
      </c>
    </row>
    <row r="19" spans="1:20" x14ac:dyDescent="0.35">
      <c r="A19">
        <f>YEAR(B19)</f>
        <v>2012</v>
      </c>
      <c r="B19" s="12">
        <f>DATE(YEAR(G19),MONTH(G19),DAY(1))</f>
        <v>41244</v>
      </c>
      <c r="C19">
        <f>IF(E19&lt;&gt;E18,C18+1,C18)</f>
        <v>3</v>
      </c>
      <c r="D19" s="6" t="s">
        <v>297</v>
      </c>
      <c r="E19" s="6" t="s">
        <v>20</v>
      </c>
      <c r="F19" s="6" t="s">
        <v>346</v>
      </c>
      <c r="G19" s="1">
        <v>41264</v>
      </c>
      <c r="H19" s="1">
        <v>43090</v>
      </c>
      <c r="I19" s="7">
        <f>IF(H19-G19&gt;(365*5),1,0)</f>
        <v>1</v>
      </c>
      <c r="J19" s="6">
        <v>0</v>
      </c>
      <c r="K19" s="9" t="str">
        <f>IF($N19="USD",INDEX('Dólar Spot'!$C:$C,MATCH(Base!$G21,'Dólar Spot'!$A:$A,0)),"")</f>
        <v/>
      </c>
      <c r="L19" s="8">
        <v>300000000</v>
      </c>
      <c r="M19" s="7">
        <f>IF(N19="USD",L19*K19/1000000,L19/1000000)</f>
        <v>300</v>
      </c>
      <c r="N19" s="6" t="s">
        <v>348</v>
      </c>
      <c r="O19" s="9" t="str" cm="1">
        <f t="array" ref="O19">INDEX(Ratings!$B$2:$L$42,_xlfn.XMATCH(Base!E21,Ratings!$A$2:$A$42),_xlfn.XMATCH(YEAR(Base!G21),Ratings!$B$1:$L$1))</f>
        <v>NR</v>
      </c>
      <c r="P19">
        <f>IF(AND(O19&lt;&gt;"BBB-",O19&lt;&gt;"BBB",O19&lt;&gt;"BBB+"),0,1)</f>
        <v>0</v>
      </c>
      <c r="Q19" s="7">
        <f>INDEX('Bonds ANBIMA'!$F:$F,MATCH(Base!$B21,'Bonds ANBIMA'!$A:$A,0))</f>
        <v>1952.3304406451612</v>
      </c>
      <c r="R19" s="21">
        <f>INDEX('Bonds ANBIMA'!$H:$H,MATCH(Base!$B21,'Bonds ANBIMA'!$A:$A,0))</f>
        <v>0.7592592592592593</v>
      </c>
      <c r="S19" s="7">
        <f>INDEX('Debêntures ANBIMA'!$O:$O,MATCH(Base!$B21,'Debêntures ANBIMA'!$A:$A,0))</f>
        <v>1225.43</v>
      </c>
      <c r="T19" s="24">
        <f>INDEX('Debêntures ANBIMA'!$P:$P,MATCH(Base!$B21,'Debêntures ANBIMA'!$A:$A,0))</f>
        <v>0.93229370867656214</v>
      </c>
    </row>
    <row r="20" spans="1:20" x14ac:dyDescent="0.35">
      <c r="A20">
        <f>YEAR(B20)</f>
        <v>2013</v>
      </c>
      <c r="B20" s="12">
        <f>DATE(YEAR(G20),MONTH(G20),DAY(1))</f>
        <v>41456</v>
      </c>
      <c r="C20">
        <f>IF(E20&lt;&gt;E19,C19+1,C19)</f>
        <v>3</v>
      </c>
      <c r="D20" s="6" t="s">
        <v>297</v>
      </c>
      <c r="E20" s="6" t="s">
        <v>20</v>
      </c>
      <c r="F20" s="6" t="s">
        <v>346</v>
      </c>
      <c r="G20" s="1">
        <v>41470</v>
      </c>
      <c r="H20" s="1">
        <v>43296</v>
      </c>
      <c r="I20" s="7">
        <f>IF(H20-G20&gt;(365*5),1,0)</f>
        <v>1</v>
      </c>
      <c r="J20" s="6">
        <v>0</v>
      </c>
      <c r="K20" s="9" t="str">
        <f>IF($N20="USD",INDEX('Dólar Spot'!$C:$C,MATCH(Base!$G22,'Dólar Spot'!$A:$A,0)),"")</f>
        <v/>
      </c>
      <c r="L20" s="8">
        <v>154600000</v>
      </c>
      <c r="M20" s="7">
        <f>IF(N20="USD",L20*K20/1000000,L20/1000000)</f>
        <v>154.6</v>
      </c>
      <c r="N20" s="6" t="s">
        <v>348</v>
      </c>
      <c r="O20" s="9" t="str" cm="1">
        <f t="array" ref="O20">INDEX(Ratings!$B$2:$L$42,_xlfn.XMATCH(Base!E22,Ratings!$A$2:$A$42),_xlfn.XMATCH(YEAR(Base!G22),Ratings!$B$1:$L$1))</f>
        <v>NR</v>
      </c>
      <c r="P20">
        <f>IF(AND(O20&lt;&gt;"BBB-",O20&lt;&gt;"BBB",O20&lt;&gt;"BBB+"),0,1)</f>
        <v>0</v>
      </c>
      <c r="Q20" s="7">
        <f>INDEX('Bonds ANBIMA'!$F:$F,MATCH(Base!$B22,'Bonds ANBIMA'!$A:$A,0))</f>
        <v>1439.4307014742017</v>
      </c>
      <c r="R20" s="21">
        <f>INDEX('Bonds ANBIMA'!$H:$H,MATCH(Base!$B22,'Bonds ANBIMA'!$A:$A,0))</f>
        <v>0.81690140845070425</v>
      </c>
      <c r="S20" s="7">
        <f>INDEX('Debêntures ANBIMA'!$O:$O,MATCH(Base!$B22,'Debêntures ANBIMA'!$A:$A,0))</f>
        <v>635.85528947368425</v>
      </c>
      <c r="T20" s="24">
        <f>INDEX('Debêntures ANBIMA'!$P:$P,MATCH(Base!$B22,'Debêntures ANBIMA'!$A:$A,0))</f>
        <v>0.94685980561366556</v>
      </c>
    </row>
    <row r="21" spans="1:20" x14ac:dyDescent="0.35">
      <c r="A21">
        <f>YEAR(B21)</f>
        <v>2014</v>
      </c>
      <c r="B21" s="12">
        <f>DATE(YEAR(G21),MONTH(G21),DAY(1))</f>
        <v>41791</v>
      </c>
      <c r="C21">
        <f>IF(E21&lt;&gt;E20,C20+1,C20)</f>
        <v>3</v>
      </c>
      <c r="D21" s="6" t="s">
        <v>297</v>
      </c>
      <c r="E21" s="6" t="s">
        <v>20</v>
      </c>
      <c r="F21" s="6" t="s">
        <v>346</v>
      </c>
      <c r="G21" s="1">
        <v>41815</v>
      </c>
      <c r="H21" s="1">
        <v>45468</v>
      </c>
      <c r="I21" s="7">
        <f>IF(H21-G21&gt;(365*5),1,0)</f>
        <v>1</v>
      </c>
      <c r="J21" s="6">
        <v>0</v>
      </c>
      <c r="K21" s="9" t="str">
        <f>IF($N21="USD",INDEX('Dólar Spot'!$C:$C,MATCH(Base!$G23,'Dólar Spot'!$A:$A,0)),"")</f>
        <v/>
      </c>
      <c r="L21" s="8">
        <v>700000000</v>
      </c>
      <c r="M21" s="7">
        <f>IF(N21="USD",L21*K21/1000000,L21/1000000)</f>
        <v>700</v>
      </c>
      <c r="N21" s="6" t="s">
        <v>348</v>
      </c>
      <c r="O21" s="9" t="str" cm="1">
        <f t="array" ref="O21">INDEX(Ratings!$B$2:$L$42,_xlfn.XMATCH(Base!E23,Ratings!$A$2:$A$42),_xlfn.XMATCH(YEAR(Base!G23),Ratings!$B$1:$L$1))</f>
        <v>NR</v>
      </c>
      <c r="P21">
        <f>IF(AND(O21&lt;&gt;"BBB-",O21&lt;&gt;"BBB",O21&lt;&gt;"BBB+"),0,1)</f>
        <v>0</v>
      </c>
      <c r="Q21" s="7">
        <f>INDEX('Bonds ANBIMA'!$F:$F,MATCH(Base!$B23,'Bonds ANBIMA'!$A:$A,0))</f>
        <v>1671.3360756756758</v>
      </c>
      <c r="R21" s="21">
        <f>INDEX('Bonds ANBIMA'!$H:$H,MATCH(Base!$B23,'Bonds ANBIMA'!$A:$A,0))</f>
        <v>0.81690140845070425</v>
      </c>
      <c r="S21" s="7">
        <f>INDEX('Debêntures ANBIMA'!$O:$O,MATCH(Base!$B23,'Debêntures ANBIMA'!$A:$A,0))</f>
        <v>384.58057142857143</v>
      </c>
      <c r="T21" s="24">
        <f>INDEX('Debêntures ANBIMA'!$P:$P,MATCH(Base!$B23,'Debêntures ANBIMA'!$A:$A,0))</f>
        <v>0.8593261800811931</v>
      </c>
    </row>
    <row r="22" spans="1:20" x14ac:dyDescent="0.35">
      <c r="A22">
        <f>YEAR(B22)</f>
        <v>2012</v>
      </c>
      <c r="B22" s="12">
        <f>DATE(YEAR(G22),MONTH(G22),DAY(1))</f>
        <v>40909</v>
      </c>
      <c r="C22">
        <f>IF(E22&lt;&gt;E21,C21+1,C21)</f>
        <v>3</v>
      </c>
      <c r="D22" s="6" t="s">
        <v>297</v>
      </c>
      <c r="E22" s="6" t="s">
        <v>20</v>
      </c>
      <c r="F22" s="6" t="s">
        <v>346</v>
      </c>
      <c r="G22" s="1">
        <v>40934</v>
      </c>
      <c r="H22" s="1">
        <v>43126</v>
      </c>
      <c r="I22" s="7">
        <f>IF(H22-G22&gt;(365*5),1,0)</f>
        <v>1</v>
      </c>
      <c r="J22" s="6">
        <v>0</v>
      </c>
      <c r="K22" s="9" t="str">
        <f>IF($N22="USD",INDEX('Dólar Spot'!$C:$C,MATCH(Base!$G24,'Dólar Spot'!$A:$A,0)),"")</f>
        <v/>
      </c>
      <c r="L22" s="8">
        <v>200000000</v>
      </c>
      <c r="M22" s="7">
        <f>IF(N22="USD",L22*K22/1000000,L22/1000000)</f>
        <v>200</v>
      </c>
      <c r="N22" s="6" t="s">
        <v>348</v>
      </c>
      <c r="O22" s="9" t="str" cm="1">
        <f t="array" ref="O22">INDEX(Ratings!$B$2:$L$42,_xlfn.XMATCH(Base!E24,Ratings!$A$2:$A$42),_xlfn.XMATCH(YEAR(Base!G24),Ratings!$B$1:$L$1))</f>
        <v>NR</v>
      </c>
      <c r="P22">
        <f>IF(AND(O22&lt;&gt;"BBB-",O22&lt;&gt;"BBB",O22&lt;&gt;"BBB+"),0,1)</f>
        <v>0</v>
      </c>
      <c r="Q22" s="7">
        <f>INDEX('Bonds ANBIMA'!$F:$F,MATCH(Base!$B24,'Bonds ANBIMA'!$A:$A,0))</f>
        <v>2385.9040014492748</v>
      </c>
      <c r="R22" s="21">
        <f>INDEX('Bonds ANBIMA'!$H:$H,MATCH(Base!$B24,'Bonds ANBIMA'!$A:$A,0))</f>
        <v>0.61224489795918369</v>
      </c>
      <c r="S22" s="7">
        <f>INDEX('Debêntures ANBIMA'!$O:$O,MATCH(Base!$B24,'Debêntures ANBIMA'!$A:$A,0))</f>
        <v>163.828</v>
      </c>
      <c r="T22" s="24">
        <f>INDEX('Debêntures ANBIMA'!$P:$P,MATCH(Base!$B24,'Debêntures ANBIMA'!$A:$A,0))</f>
        <v>0.60531960012117536</v>
      </c>
    </row>
    <row r="23" spans="1:20" x14ac:dyDescent="0.35">
      <c r="A23">
        <f>YEAR(B23)</f>
        <v>2012</v>
      </c>
      <c r="B23" s="12">
        <f>DATE(YEAR(G23),MONTH(G23),DAY(1))</f>
        <v>41244</v>
      </c>
      <c r="C23">
        <f>IF(E23&lt;&gt;E22,C22+1,C22)</f>
        <v>3</v>
      </c>
      <c r="D23" s="6" t="s">
        <v>297</v>
      </c>
      <c r="E23" s="6" t="s">
        <v>20</v>
      </c>
      <c r="F23" s="6" t="s">
        <v>346</v>
      </c>
      <c r="G23" s="1">
        <v>41264</v>
      </c>
      <c r="H23" s="1">
        <v>44916</v>
      </c>
      <c r="I23" s="7">
        <f>IF(H23-G23&gt;(365*5),1,0)</f>
        <v>1</v>
      </c>
      <c r="J23" s="6">
        <v>0</v>
      </c>
      <c r="K23" s="9" t="str">
        <f>IF($N23="USD",INDEX('Dólar Spot'!$C:$C,MATCH(Base!$G25,'Dólar Spot'!$A:$A,0)),"")</f>
        <v/>
      </c>
      <c r="L23" s="8">
        <v>350000000</v>
      </c>
      <c r="M23" s="7">
        <f>IF(N23="USD",L23*K23/1000000,L23/1000000)</f>
        <v>350</v>
      </c>
      <c r="N23" s="6" t="s">
        <v>348</v>
      </c>
      <c r="O23" s="9" t="str" cm="1">
        <f t="array" ref="O23">INDEX(Ratings!$B$2:$L$42,_xlfn.XMATCH(Base!E25,Ratings!$A$2:$A$42),_xlfn.XMATCH(YEAR(Base!G25),Ratings!$B$1:$L$1))</f>
        <v>NR</v>
      </c>
      <c r="P23">
        <f>IF(AND(O23&lt;&gt;"BBB-",O23&lt;&gt;"BBB",O23&lt;&gt;"BBB+"),0,1)</f>
        <v>0</v>
      </c>
      <c r="Q23" s="7">
        <f>INDEX('Bonds ANBIMA'!$F:$F,MATCH(Base!$B25,'Bonds ANBIMA'!$A:$A,0))</f>
        <v>1952.3304406451612</v>
      </c>
      <c r="R23" s="21">
        <f>INDEX('Bonds ANBIMA'!$H:$H,MATCH(Base!$B25,'Bonds ANBIMA'!$A:$A,0))</f>
        <v>0.7592592592592593</v>
      </c>
      <c r="S23" s="7">
        <f>INDEX('Debêntures ANBIMA'!$O:$O,MATCH(Base!$B25,'Debêntures ANBIMA'!$A:$A,0))</f>
        <v>1225.43</v>
      </c>
      <c r="T23" s="24">
        <f>INDEX('Debêntures ANBIMA'!$P:$P,MATCH(Base!$B25,'Debêntures ANBIMA'!$A:$A,0))</f>
        <v>0.93229370867656214</v>
      </c>
    </row>
    <row r="24" spans="1:20" x14ac:dyDescent="0.35">
      <c r="A24">
        <f>YEAR(B24)</f>
        <v>2013</v>
      </c>
      <c r="B24" s="12">
        <f>DATE(YEAR(G24),MONTH(G24),DAY(1))</f>
        <v>41456</v>
      </c>
      <c r="C24">
        <f>IF(E24&lt;&gt;E23,C23+1,C23)</f>
        <v>3</v>
      </c>
      <c r="D24" s="6" t="s">
        <v>297</v>
      </c>
      <c r="E24" s="6" t="s">
        <v>20</v>
      </c>
      <c r="F24" s="6" t="s">
        <v>346</v>
      </c>
      <c r="G24" s="1">
        <v>41470</v>
      </c>
      <c r="H24" s="1">
        <v>43661</v>
      </c>
      <c r="I24" s="7">
        <f>IF(H24-G24&gt;(365*5),1,0)</f>
        <v>1</v>
      </c>
      <c r="J24" s="6">
        <v>0</v>
      </c>
      <c r="K24" s="9" t="str">
        <f>IF($N24="USD",INDEX('Dólar Spot'!$C:$C,MATCH(Base!$G26,'Dólar Spot'!$A:$A,0)),"")</f>
        <v/>
      </c>
      <c r="L24" s="8">
        <v>45400000</v>
      </c>
      <c r="M24" s="7">
        <f>IF(N24="USD",L24*K24/1000000,L24/1000000)</f>
        <v>45.4</v>
      </c>
      <c r="N24" s="6" t="s">
        <v>348</v>
      </c>
      <c r="O24" s="9" t="str" cm="1">
        <f t="array" ref="O24">INDEX(Ratings!$B$2:$L$42,_xlfn.XMATCH(Base!E26,Ratings!$A$2:$A$42),_xlfn.XMATCH(YEAR(Base!G26),Ratings!$B$1:$L$1))</f>
        <v>NR</v>
      </c>
      <c r="P24">
        <f>IF(AND(O24&lt;&gt;"BBB-",O24&lt;&gt;"BBB",O24&lt;&gt;"BBB+"),0,1)</f>
        <v>0</v>
      </c>
      <c r="Q24" s="7">
        <f>INDEX('Bonds ANBIMA'!$F:$F,MATCH(Base!$B26,'Bonds ANBIMA'!$A:$A,0))</f>
        <v>2385.9040014492748</v>
      </c>
      <c r="R24" s="21">
        <f>INDEX('Bonds ANBIMA'!$H:$H,MATCH(Base!$B26,'Bonds ANBIMA'!$A:$A,0))</f>
        <v>0.61224489795918369</v>
      </c>
      <c r="S24" s="7">
        <f>INDEX('Debêntures ANBIMA'!$O:$O,MATCH(Base!$B26,'Debêntures ANBIMA'!$A:$A,0))</f>
        <v>163.828</v>
      </c>
      <c r="T24" s="24">
        <f>INDEX('Debêntures ANBIMA'!$P:$P,MATCH(Base!$B26,'Debêntures ANBIMA'!$A:$A,0))</f>
        <v>0.60531960012117536</v>
      </c>
    </row>
    <row r="25" spans="1:20" x14ac:dyDescent="0.35">
      <c r="A25">
        <f>YEAR(B25)</f>
        <v>2014</v>
      </c>
      <c r="B25" s="12">
        <f>DATE(YEAR(G25),MONTH(G25),DAY(1))</f>
        <v>41791</v>
      </c>
      <c r="C25">
        <f>IF(E25&lt;&gt;E24,C24+1,C24)</f>
        <v>3</v>
      </c>
      <c r="D25" s="6" t="s">
        <v>297</v>
      </c>
      <c r="E25" s="6" t="s">
        <v>20</v>
      </c>
      <c r="F25" s="6" t="s">
        <v>346</v>
      </c>
      <c r="G25" s="1">
        <v>41815</v>
      </c>
      <c r="H25" s="1">
        <v>44372</v>
      </c>
      <c r="I25" s="7">
        <f>IF(H25-G25&gt;(365*5),1,0)</f>
        <v>1</v>
      </c>
      <c r="J25" s="6">
        <v>0</v>
      </c>
      <c r="K25" s="9" t="str">
        <f>IF($N25="USD",INDEX('Dólar Spot'!$C:$C,MATCH(Base!$G27,'Dólar Spot'!$A:$A,0)),"")</f>
        <v/>
      </c>
      <c r="L25" s="8">
        <v>250000000</v>
      </c>
      <c r="M25" s="7">
        <f>IF(N25="USD",L25*K25/1000000,L25/1000000)</f>
        <v>250</v>
      </c>
      <c r="N25" s="6" t="s">
        <v>348</v>
      </c>
      <c r="O25" s="9" t="str" cm="1">
        <f t="array" ref="O25">INDEX(Ratings!$B$2:$L$42,_xlfn.XMATCH(Base!E27,Ratings!$A$2:$A$42),_xlfn.XMATCH(YEAR(Base!G27),Ratings!$B$1:$L$1))</f>
        <v>NR</v>
      </c>
      <c r="P25">
        <f>IF(AND(O25&lt;&gt;"BBB-",O25&lt;&gt;"BBB",O25&lt;&gt;"BBB+"),0,1)</f>
        <v>0</v>
      </c>
      <c r="Q25" s="7">
        <f>INDEX('Bonds ANBIMA'!$F:$F,MATCH(Base!$B27,'Bonds ANBIMA'!$A:$A,0))</f>
        <v>0</v>
      </c>
      <c r="R25" s="21">
        <f>INDEX('Bonds ANBIMA'!$H:$H,MATCH(Base!$B27,'Bonds ANBIMA'!$A:$A,0))</f>
        <v>0.88235294117647056</v>
      </c>
      <c r="S25" s="7">
        <f>INDEX('Debêntures ANBIMA'!$O:$O,MATCH(Base!$B27,'Debêntures ANBIMA'!$A:$A,0))</f>
        <v>229.18</v>
      </c>
      <c r="T25" s="24">
        <f>INDEX('Debêntures ANBIMA'!$P:$P,MATCH(Base!$B27,'Debêntures ANBIMA'!$A:$A,0))</f>
        <v>0.66574628235726097</v>
      </c>
    </row>
    <row r="26" spans="1:20" x14ac:dyDescent="0.35">
      <c r="A26">
        <f>YEAR(B26)</f>
        <v>2013</v>
      </c>
      <c r="B26" s="12">
        <f>DATE(YEAR(G26),MONTH(G26),DAY(1))</f>
        <v>41456</v>
      </c>
      <c r="C26">
        <f>IF(E26&lt;&gt;E25,C25+1,C25)</f>
        <v>3</v>
      </c>
      <c r="D26" s="6" t="s">
        <v>297</v>
      </c>
      <c r="E26" s="6" t="s">
        <v>20</v>
      </c>
      <c r="F26" s="6" t="s">
        <v>346</v>
      </c>
      <c r="G26" s="1">
        <v>41470</v>
      </c>
      <c r="H26" s="1">
        <v>44392</v>
      </c>
      <c r="I26" s="7">
        <f>IF(H26-G26&gt;(365*5),1,0)</f>
        <v>1</v>
      </c>
      <c r="J26" s="6">
        <v>0</v>
      </c>
      <c r="K26" s="9" t="str">
        <f>IF($N26="USD",INDEX('Dólar Spot'!$C:$C,MATCH(Base!$G28,'Dólar Spot'!$A:$A,0)),"")</f>
        <v/>
      </c>
      <c r="L26" s="8">
        <v>200000000</v>
      </c>
      <c r="M26" s="7">
        <f>IF(N26="USD",L26*K26/1000000,L26/1000000)</f>
        <v>200</v>
      </c>
      <c r="N26" s="6" t="s">
        <v>347</v>
      </c>
      <c r="O26" s="9" t="str" cm="1">
        <f t="array" ref="O26">INDEX(Ratings!$B$2:$L$42,_xlfn.XMATCH(Base!E28,Ratings!$A$2:$A$42),_xlfn.XMATCH(YEAR(Base!G28),Ratings!$B$1:$L$1))</f>
        <v>NR</v>
      </c>
      <c r="P26">
        <f>IF(AND(O26&lt;&gt;"BBB-",O26&lt;&gt;"BBB",O26&lt;&gt;"BBB+"),0,1)</f>
        <v>0</v>
      </c>
      <c r="Q26" s="7">
        <f>INDEX('Bonds ANBIMA'!$F:$F,MATCH(Base!$B28,'Bonds ANBIMA'!$A:$A,0))</f>
        <v>2044.1399999999999</v>
      </c>
      <c r="R26" s="21">
        <f>INDEX('Bonds ANBIMA'!$H:$H,MATCH(Base!$B28,'Bonds ANBIMA'!$A:$A,0))</f>
        <v>0.73333333333333339</v>
      </c>
      <c r="S26" s="7">
        <f>INDEX('Debêntures ANBIMA'!$O:$O,MATCH(Base!$B28,'Debêntures ANBIMA'!$A:$A,0))</f>
        <v>420.39534883720933</v>
      </c>
      <c r="T26" s="24">
        <f>INDEX('Debêntures ANBIMA'!$P:$P,MATCH(Base!$B28,'Debêntures ANBIMA'!$A:$A,0))</f>
        <v>0.76640411816960119</v>
      </c>
    </row>
    <row r="27" spans="1:20" x14ac:dyDescent="0.35">
      <c r="A27">
        <f>YEAR(B27)</f>
        <v>2017</v>
      </c>
      <c r="B27" s="12">
        <f>DATE(YEAR(G27),MONTH(G27),DAY(1))</f>
        <v>42826</v>
      </c>
      <c r="C27">
        <f>IF(E27&lt;&gt;E26,C26+1,C26)</f>
        <v>3</v>
      </c>
      <c r="D27" s="6" t="s">
        <v>297</v>
      </c>
      <c r="E27" s="6" t="s">
        <v>20</v>
      </c>
      <c r="F27" s="6" t="s">
        <v>346</v>
      </c>
      <c r="G27" s="1">
        <v>42840</v>
      </c>
      <c r="H27" s="1">
        <v>44666</v>
      </c>
      <c r="I27" s="7">
        <f>IF(H27-G27&gt;(365*5),1,0)</f>
        <v>1</v>
      </c>
      <c r="J27" s="6">
        <v>0</v>
      </c>
      <c r="K27" s="9" t="str">
        <f>IF($N27="USD",INDEX('Dólar Spot'!$C:$C,MATCH(Base!$G29,'Dólar Spot'!$A:$A,0)),"")</f>
        <v/>
      </c>
      <c r="L27" s="8">
        <v>1263350000</v>
      </c>
      <c r="M27" s="7">
        <f>IF(N27="USD",L27*K27/1000000,L27/1000000)</f>
        <v>1263.3499999999999</v>
      </c>
      <c r="N27" s="6" t="s">
        <v>348</v>
      </c>
      <c r="O27" s="9" t="str" cm="1">
        <f t="array" ref="O27">INDEX(Ratings!$B$2:$L$42,_xlfn.XMATCH(Base!E29,Ratings!$A$2:$A$42),_xlfn.XMATCH(YEAR(Base!G29),Ratings!$B$1:$L$1))</f>
        <v>NR</v>
      </c>
      <c r="P27">
        <f>IF(AND(O27&lt;&gt;"BBB-",O27&lt;&gt;"BBB",O27&lt;&gt;"BBB+"),0,1)</f>
        <v>0</v>
      </c>
      <c r="Q27" s="7">
        <f>INDEX('Bonds ANBIMA'!$F:$F,MATCH(Base!$B29,'Bonds ANBIMA'!$A:$A,0))</f>
        <v>0</v>
      </c>
      <c r="R27" s="21">
        <f>INDEX('Bonds ANBIMA'!$H:$H,MATCH(Base!$B29,'Bonds ANBIMA'!$A:$A,0))</f>
        <v>1</v>
      </c>
      <c r="S27" s="7">
        <f>INDEX('Debêntures ANBIMA'!$O:$O,MATCH(Base!$B29,'Debêntures ANBIMA'!$A:$A,0))</f>
        <v>572.43679166666664</v>
      </c>
      <c r="T27" s="24">
        <f>INDEX('Debêntures ANBIMA'!$P:$P,MATCH(Base!$B29,'Debêntures ANBIMA'!$A:$A,0))</f>
        <v>0.50135484259515417</v>
      </c>
    </row>
    <row r="28" spans="1:20" x14ac:dyDescent="0.35">
      <c r="A28">
        <f>YEAR(B28)</f>
        <v>2018</v>
      </c>
      <c r="B28" s="12">
        <f>DATE(YEAR(G28),MONTH(G28),DAY(1))</f>
        <v>43191</v>
      </c>
      <c r="C28">
        <f>IF(E28&lt;&gt;E27,C27+1,C27)</f>
        <v>3</v>
      </c>
      <c r="D28" s="6" t="s">
        <v>297</v>
      </c>
      <c r="E28" s="6" t="s">
        <v>20</v>
      </c>
      <c r="F28" s="6" t="s">
        <v>346</v>
      </c>
      <c r="G28" s="1">
        <v>43210</v>
      </c>
      <c r="H28" s="1">
        <v>45036</v>
      </c>
      <c r="I28" s="7">
        <f>IF(H28-G28&gt;(365*5),1,0)</f>
        <v>1</v>
      </c>
      <c r="J28" s="6">
        <v>0</v>
      </c>
      <c r="K28" s="9" t="str">
        <f>IF($N28="USD",INDEX('Dólar Spot'!$C:$C,MATCH(Base!$G30,'Dólar Spot'!$A:$A,0)),"")</f>
        <v/>
      </c>
      <c r="L28" s="8">
        <v>1000000000</v>
      </c>
      <c r="M28" s="7">
        <f>IF(N28="USD",L28*K28/1000000,L28/1000000)</f>
        <v>1000</v>
      </c>
      <c r="N28" s="6" t="s">
        <v>348</v>
      </c>
      <c r="O28" s="9" t="str" cm="1">
        <f t="array" ref="O28">INDEX(Ratings!$B$2:$L$42,_xlfn.XMATCH(Base!E30,Ratings!$A$2:$A$42),_xlfn.XMATCH(YEAR(Base!G30),Ratings!$B$1:$L$1))</f>
        <v>BB</v>
      </c>
      <c r="P28">
        <f>IF(AND(O28&lt;&gt;"BBB-",O28&lt;&gt;"BBB",O28&lt;&gt;"BBB+"),0,1)</f>
        <v>0</v>
      </c>
      <c r="Q28" s="7">
        <f>INDEX('Bonds ANBIMA'!$F:$F,MATCH(Base!$B30,'Bonds ANBIMA'!$A:$A,0))</f>
        <v>0</v>
      </c>
      <c r="R28" s="21">
        <f>INDEX('Bonds ANBIMA'!$H:$H,MATCH(Base!$B30,'Bonds ANBIMA'!$A:$A,0))</f>
        <v>0.69230769230769229</v>
      </c>
      <c r="S28" s="7">
        <f>INDEX('Debêntures ANBIMA'!$O:$O,MATCH(Base!$B30,'Debêntures ANBIMA'!$A:$A,0))</f>
        <v>370.28562499999998</v>
      </c>
      <c r="T28" s="24">
        <f>INDEX('Debêntures ANBIMA'!$P:$P,MATCH(Base!$B30,'Debêntures ANBIMA'!$A:$A,0))</f>
        <v>0.48934520212348187</v>
      </c>
    </row>
    <row r="29" spans="1:20" x14ac:dyDescent="0.35">
      <c r="A29">
        <f>YEAR(B29)</f>
        <v>2019</v>
      </c>
      <c r="B29" s="12">
        <f>DATE(YEAR(G29),MONTH(G29),DAY(1))</f>
        <v>43466</v>
      </c>
      <c r="C29">
        <f>IF(E29&lt;&gt;E28,C28+1,C28)</f>
        <v>3</v>
      </c>
      <c r="D29" s="6" t="s">
        <v>297</v>
      </c>
      <c r="E29" s="6" t="s">
        <v>20</v>
      </c>
      <c r="F29" s="6" t="s">
        <v>346</v>
      </c>
      <c r="G29" s="1">
        <v>43475</v>
      </c>
      <c r="H29" s="1">
        <v>46032</v>
      </c>
      <c r="I29" s="7">
        <f>IF(H29-G29&gt;(365*5),1,0)</f>
        <v>1</v>
      </c>
      <c r="J29" s="6">
        <v>0</v>
      </c>
      <c r="K29" s="9" t="str">
        <f>IF($N29="USD",INDEX('Dólar Spot'!$C:$C,MATCH(Base!$G31,'Dólar Spot'!$A:$A,0)),"")</f>
        <v/>
      </c>
      <c r="L29" s="8">
        <v>1000000000</v>
      </c>
      <c r="M29" s="7">
        <f>IF(N29="USD",L29*K29/1000000,L29/1000000)</f>
        <v>1000</v>
      </c>
      <c r="N29" s="6" t="s">
        <v>348</v>
      </c>
      <c r="O29" s="9" t="str" cm="1">
        <f t="array" ref="O29">INDEX(Ratings!$B$2:$L$42,_xlfn.XMATCH(Base!E31,Ratings!$A$2:$A$42),_xlfn.XMATCH(YEAR(Base!G31),Ratings!$B$1:$L$1))</f>
        <v>BB</v>
      </c>
      <c r="P29">
        <f>IF(AND(O29&lt;&gt;"BBB-",O29&lt;&gt;"BBB",O29&lt;&gt;"BBB+"),0,1)</f>
        <v>0</v>
      </c>
      <c r="Q29" s="7">
        <f>INDEX('Bonds ANBIMA'!$F:$F,MATCH(Base!$B31,'Bonds ANBIMA'!$A:$A,0))</f>
        <v>16886.984523809526</v>
      </c>
      <c r="R29" s="21">
        <f>INDEX('Bonds ANBIMA'!$H:$H,MATCH(Base!$B31,'Bonds ANBIMA'!$A:$A,0))</f>
        <v>0.70588235294117641</v>
      </c>
      <c r="S29" s="7">
        <f>INDEX('Debêntures ANBIMA'!$O:$O,MATCH(Base!$B31,'Debêntures ANBIMA'!$A:$A,0))</f>
        <v>375.80724257500003</v>
      </c>
      <c r="T29" s="24">
        <f>INDEX('Debêntures ANBIMA'!$P:$P,MATCH(Base!$B31,'Debêntures ANBIMA'!$A:$A,0))</f>
        <v>0.80877441343777279</v>
      </c>
    </row>
    <row r="30" spans="1:20" x14ac:dyDescent="0.35">
      <c r="A30">
        <f>YEAR(B30)</f>
        <v>2020</v>
      </c>
      <c r="B30" s="12">
        <f>DATE(YEAR(G30),MONTH(G30),DAY(1))</f>
        <v>43952</v>
      </c>
      <c r="C30">
        <f>IF(E30&lt;&gt;E29,C29+1,C29)</f>
        <v>3</v>
      </c>
      <c r="D30" s="6" t="s">
        <v>297</v>
      </c>
      <c r="E30" s="6" t="s">
        <v>20</v>
      </c>
      <c r="F30" s="6" t="s">
        <v>346</v>
      </c>
      <c r="G30" s="1">
        <v>43969</v>
      </c>
      <c r="H30" s="1">
        <v>45064</v>
      </c>
      <c r="I30" s="7">
        <f>IF(H30-G30&gt;(365*5),1,0)</f>
        <v>0</v>
      </c>
      <c r="J30" s="6">
        <v>0</v>
      </c>
      <c r="K30" s="9" t="str">
        <f>IF($N30="USD",INDEX('Dólar Spot'!$C:$C,MATCH(Base!$G32,'Dólar Spot'!$A:$A,0)),"")</f>
        <v/>
      </c>
      <c r="L30" s="8">
        <v>500000000</v>
      </c>
      <c r="M30" s="7">
        <f>IF(N30="USD",L30*K30/1000000,L30/1000000)</f>
        <v>500</v>
      </c>
      <c r="N30" s="6" t="s">
        <v>348</v>
      </c>
      <c r="O30" s="9" t="str" cm="1">
        <f t="array" ref="O30">INDEX(Ratings!$B$2:$L$42,_xlfn.XMATCH(Base!E32,Ratings!$A$2:$A$42),_xlfn.XMATCH(YEAR(Base!G32),Ratings!$B$1:$L$1))</f>
        <v>BB</v>
      </c>
      <c r="P30">
        <f>IF(AND(O30&lt;&gt;"BBB-",O30&lt;&gt;"BBB",O30&lt;&gt;"BBB+"),0,1)</f>
        <v>0</v>
      </c>
      <c r="Q30" s="7">
        <f>INDEX('Bonds ANBIMA'!$F:$F,MATCH(Base!$B32,'Bonds ANBIMA'!$A:$A,0))</f>
        <v>3599.2539682539682</v>
      </c>
      <c r="R30" s="21">
        <f>INDEX('Bonds ANBIMA'!$H:$H,MATCH(Base!$B32,'Bonds ANBIMA'!$A:$A,0))</f>
        <v>0.70370370370370372</v>
      </c>
      <c r="S30" s="7">
        <f>INDEX('Debêntures ANBIMA'!$O:$O,MATCH(Base!$B32,'Debêntures ANBIMA'!$A:$A,0))</f>
        <v>312.55047368421054</v>
      </c>
      <c r="T30" s="24">
        <f>INDEX('Debêntures ANBIMA'!$P:$P,MATCH(Base!$B32,'Debêntures ANBIMA'!$A:$A,0))</f>
        <v>0.90771570084636288</v>
      </c>
    </row>
    <row r="31" spans="1:20" x14ac:dyDescent="0.35">
      <c r="A31">
        <f>YEAR(B31)</f>
        <v>2020</v>
      </c>
      <c r="B31" s="12">
        <f>DATE(YEAR(G31),MONTH(G31),DAY(1))</f>
        <v>43983</v>
      </c>
      <c r="C31">
        <f>IF(E31&lt;&gt;E30,C30+1,C30)</f>
        <v>3</v>
      </c>
      <c r="D31" s="6" t="s">
        <v>297</v>
      </c>
      <c r="E31" s="6" t="s">
        <v>20</v>
      </c>
      <c r="F31" s="6" t="s">
        <v>346</v>
      </c>
      <c r="G31" s="1">
        <v>43984</v>
      </c>
      <c r="H31" s="1">
        <v>45079</v>
      </c>
      <c r="I31" s="7">
        <f>IF(H31-G31&gt;(365*5),1,0)</f>
        <v>0</v>
      </c>
      <c r="J31" s="6">
        <v>0</v>
      </c>
      <c r="K31" s="9" t="str">
        <f>IF($N31="USD",INDEX('Dólar Spot'!$C:$C,MATCH(Base!$G33,'Dólar Spot'!$A:$A,0)),"")</f>
        <v/>
      </c>
      <c r="L31" s="8">
        <v>500000000</v>
      </c>
      <c r="M31" s="7">
        <f>IF(N31="USD",L31*K31/1000000,L31/1000000)</f>
        <v>500</v>
      </c>
      <c r="N31" s="6" t="s">
        <v>348</v>
      </c>
      <c r="O31" s="9" t="str" cm="1">
        <f t="array" ref="O31">INDEX(Ratings!$B$2:$L$42,_xlfn.XMATCH(Base!E33,Ratings!$A$2:$A$42),_xlfn.XMATCH(YEAR(Base!G33),Ratings!$B$1:$L$1))</f>
        <v>NR</v>
      </c>
      <c r="P31">
        <f>IF(AND(O31&lt;&gt;"BBB-",O31&lt;&gt;"BBB",O31&lt;&gt;"BBB+"),0,1)</f>
        <v>0</v>
      </c>
      <c r="Q31" s="7">
        <f>INDEX('Bonds ANBIMA'!$F:$F,MATCH(Base!$B33,'Bonds ANBIMA'!$A:$A,0))</f>
        <v>0</v>
      </c>
      <c r="R31" s="21">
        <f>INDEX('Bonds ANBIMA'!$H:$H,MATCH(Base!$B33,'Bonds ANBIMA'!$A:$A,0))</f>
        <v>0.88235294117647056</v>
      </c>
      <c r="S31" s="7">
        <f>INDEX('Debêntures ANBIMA'!$O:$O,MATCH(Base!$B33,'Debêntures ANBIMA'!$A:$A,0))</f>
        <v>229.18</v>
      </c>
      <c r="T31" s="24">
        <f>INDEX('Debêntures ANBIMA'!$P:$P,MATCH(Base!$B33,'Debêntures ANBIMA'!$A:$A,0))</f>
        <v>0.66574628235726097</v>
      </c>
    </row>
    <row r="32" spans="1:20" x14ac:dyDescent="0.35">
      <c r="A32">
        <f>YEAR(B32)</f>
        <v>2020</v>
      </c>
      <c r="B32" s="12">
        <f>DATE(YEAR(G32),MONTH(G32),DAY(1))</f>
        <v>44075</v>
      </c>
      <c r="C32">
        <f>IF(E32&lt;&gt;E31,C31+1,C31)</f>
        <v>3</v>
      </c>
      <c r="D32" s="6" t="s">
        <v>297</v>
      </c>
      <c r="E32" s="6" t="s">
        <v>20</v>
      </c>
      <c r="F32" s="6" t="s">
        <v>346</v>
      </c>
      <c r="G32" s="1">
        <v>44089</v>
      </c>
      <c r="H32" s="1">
        <v>47771</v>
      </c>
      <c r="I32" s="7">
        <f>IF(H32-G32&gt;(365*5),1,0)</f>
        <v>1</v>
      </c>
      <c r="J32" s="6">
        <v>0</v>
      </c>
      <c r="K32" s="9" t="str">
        <f>IF($N32="USD",INDEX('Dólar Spot'!$C:$C,MATCH(Base!$G34,'Dólar Spot'!$A:$A,0)),"")</f>
        <v/>
      </c>
      <c r="L32" s="8">
        <v>3100000000</v>
      </c>
      <c r="M32" s="7">
        <f>IF(N32="USD",L32*K32/1000000,L32/1000000)</f>
        <v>3100</v>
      </c>
      <c r="N32" s="6" t="s">
        <v>347</v>
      </c>
      <c r="O32" s="9" t="str" cm="1">
        <f t="array" ref="O32">INDEX(Ratings!$B$2:$L$42,_xlfn.XMATCH(Base!E34,Ratings!$A$2:$A$42),_xlfn.XMATCH(YEAR(Base!G34),Ratings!$B$1:$L$1))</f>
        <v>CCC-</v>
      </c>
      <c r="P32">
        <f>IF(AND(O32&lt;&gt;"BBB-",O32&lt;&gt;"BBB",O32&lt;&gt;"BBB+"),0,1)</f>
        <v>0</v>
      </c>
      <c r="Q32" s="7">
        <f>INDEX('Bonds ANBIMA'!$F:$F,MATCH(Base!$B34,'Bonds ANBIMA'!$A:$A,0))</f>
        <v>468.41731428571421</v>
      </c>
      <c r="R32" s="21">
        <f>INDEX('Bonds ANBIMA'!$H:$H,MATCH(Base!$B34,'Bonds ANBIMA'!$A:$A,0))</f>
        <v>0.78787878787878785</v>
      </c>
      <c r="S32" s="7">
        <f>INDEX('Debêntures ANBIMA'!$O:$O,MATCH(Base!$B34,'Debêntures ANBIMA'!$A:$A,0))</f>
        <v>201.45968115942031</v>
      </c>
      <c r="T32" s="24">
        <f>INDEX('Debêntures ANBIMA'!$P:$P,MATCH(Base!$B34,'Debêntures ANBIMA'!$A:$A,0))</f>
        <v>0.85244165467238142</v>
      </c>
    </row>
    <row r="33" spans="1:20" x14ac:dyDescent="0.35">
      <c r="A33">
        <f>YEAR(B33)</f>
        <v>2017</v>
      </c>
      <c r="B33" s="12">
        <f>DATE(YEAR(G33),MONTH(G33),DAY(1))</f>
        <v>42826</v>
      </c>
      <c r="C33">
        <f>IF(E33&lt;&gt;E32,C32+1,C32)</f>
        <v>3</v>
      </c>
      <c r="D33" s="6" t="s">
        <v>297</v>
      </c>
      <c r="E33" s="6" t="s">
        <v>20</v>
      </c>
      <c r="F33" s="6" t="s">
        <v>346</v>
      </c>
      <c r="G33" s="1">
        <v>42840</v>
      </c>
      <c r="H33" s="1">
        <v>45397</v>
      </c>
      <c r="I33" s="7">
        <f>IF(H33-G33&gt;(365*5),1,0)</f>
        <v>1</v>
      </c>
      <c r="J33" s="6">
        <v>0</v>
      </c>
      <c r="K33" s="9" t="str">
        <f>IF($N33="USD",INDEX('Dólar Spot'!$C:$C,MATCH(Base!$G35,'Dólar Spot'!$A:$A,0)),"")</f>
        <v/>
      </c>
      <c r="L33" s="8">
        <v>236650000</v>
      </c>
      <c r="M33" s="7">
        <f>IF(N33="USD",L33*K33/1000000,L33/1000000)</f>
        <v>236.65</v>
      </c>
      <c r="N33" s="6" t="s">
        <v>347</v>
      </c>
      <c r="O33" s="9" t="str" cm="1">
        <f t="array" ref="O33">INDEX(Ratings!$B$2:$L$42,_xlfn.XMATCH(Base!E35,Ratings!$A$2:$A$42),_xlfn.XMATCH(YEAR(Base!G35),Ratings!$B$1:$L$1))</f>
        <v>BBB-</v>
      </c>
      <c r="P33">
        <f>IF(AND(O33&lt;&gt;"BBB-",O33&lt;&gt;"BBB",O33&lt;&gt;"BBB+"),0,1)</f>
        <v>1</v>
      </c>
      <c r="Q33" s="7">
        <f>INDEX('Bonds ANBIMA'!$F:$F,MATCH(Base!$B35,'Bonds ANBIMA'!$A:$A,0))</f>
        <v>2155.6445777777776</v>
      </c>
      <c r="R33" s="21">
        <f>INDEX('Bonds ANBIMA'!$H:$H,MATCH(Base!$B35,'Bonds ANBIMA'!$A:$A,0))</f>
        <v>0.61224489795918369</v>
      </c>
      <c r="S33" s="7">
        <f>INDEX('Debêntures ANBIMA'!$O:$O,MATCH(Base!$B35,'Debêntures ANBIMA'!$A:$A,0))</f>
        <v>246.57692307692307</v>
      </c>
      <c r="T33" s="24">
        <f>INDEX('Debêntures ANBIMA'!$P:$P,MATCH(Base!$B35,'Debêntures ANBIMA'!$A:$A,0))</f>
        <v>0.40960848541569173</v>
      </c>
    </row>
    <row r="34" spans="1:20" x14ac:dyDescent="0.35">
      <c r="A34">
        <f>YEAR(B34)</f>
        <v>2019</v>
      </c>
      <c r="B34" s="12">
        <f>DATE(YEAR(G34),MONTH(G34),DAY(1))</f>
        <v>43800</v>
      </c>
      <c r="C34">
        <f>IF(E34&lt;&gt;E33,C33+1,C33)</f>
        <v>4</v>
      </c>
      <c r="D34" s="6" t="s">
        <v>24</v>
      </c>
      <c r="E34" s="6" t="s">
        <v>23</v>
      </c>
      <c r="F34" s="6" t="s">
        <v>233</v>
      </c>
      <c r="G34" s="1">
        <v>43808</v>
      </c>
      <c r="H34" s="1" t="s">
        <v>25</v>
      </c>
      <c r="I34" s="7">
        <f>IF(H34-G34&gt;(365*5),1,0)</f>
        <v>1</v>
      </c>
      <c r="J34" s="22">
        <v>1</v>
      </c>
      <c r="K34" s="9">
        <f>IF($N34="USD",INDEX('Dólar Spot'!$C:$C,MATCH(Base!$G36,'Dólar Spot'!$A:$A,0)),"")</f>
        <v>3.1187999999999998</v>
      </c>
      <c r="L34" s="8">
        <v>480000000</v>
      </c>
      <c r="M34" s="7">
        <f>IF(N34="USD",L34*K34/1000000,L34/1000000)</f>
        <v>1497.0239999999999</v>
      </c>
      <c r="N34" s="6" t="s">
        <v>16</v>
      </c>
      <c r="O34" s="9" t="str" cm="1">
        <f t="array" ref="O34">INDEX(Ratings!$B$2:$L$42,_xlfn.XMATCH(Base!E36,Ratings!$A$2:$A$42),_xlfn.XMATCH(YEAR(Base!G36),Ratings!$B$1:$L$1))</f>
        <v>B-</v>
      </c>
      <c r="P34">
        <f>IF(AND(O34&lt;&gt;"BBB-",O34&lt;&gt;"BBB",O34&lt;&gt;"BBB+"),0,1)</f>
        <v>0</v>
      </c>
      <c r="Q34" s="7">
        <f>INDEX('Bonds ANBIMA'!$F:$F,MATCH(Base!$B36,'Bonds ANBIMA'!$A:$A,0))</f>
        <v>0</v>
      </c>
      <c r="R34" s="21">
        <f>INDEX('Bonds ANBIMA'!$H:$H,MATCH(Base!$B36,'Bonds ANBIMA'!$A:$A,0))</f>
        <v>0.88888888888888884</v>
      </c>
      <c r="S34" s="7">
        <f>INDEX('Debêntures ANBIMA'!$O:$O,MATCH(Base!$B36,'Debêntures ANBIMA'!$A:$A,0))</f>
        <v>454.29927272727275</v>
      </c>
      <c r="T34" s="24">
        <f>INDEX('Debêntures ANBIMA'!$P:$P,MATCH(Base!$B36,'Debêntures ANBIMA'!$A:$A,0))</f>
        <v>0.76949620572790256</v>
      </c>
    </row>
    <row r="35" spans="1:20" x14ac:dyDescent="0.35">
      <c r="A35">
        <f>YEAR(B35)</f>
        <v>2013</v>
      </c>
      <c r="B35" s="12">
        <f>DATE(YEAR(G35),MONTH(G35),DAY(1))</f>
        <v>41395</v>
      </c>
      <c r="C35">
        <f>IF(E35&lt;&gt;E34,C34+1,C34)</f>
        <v>4</v>
      </c>
      <c r="D35" s="6" t="s">
        <v>298</v>
      </c>
      <c r="E35" s="6" t="s">
        <v>23</v>
      </c>
      <c r="F35" s="6" t="s">
        <v>346</v>
      </c>
      <c r="G35" s="1">
        <v>41396</v>
      </c>
      <c r="H35" s="1">
        <v>43953</v>
      </c>
      <c r="I35" s="7">
        <f>IF(H35-G35&gt;(365*5),1,0)</f>
        <v>1</v>
      </c>
      <c r="J35" s="6">
        <v>1</v>
      </c>
      <c r="K35" s="9" t="str">
        <f>IF($N35="USD",INDEX('Dólar Spot'!$C:$C,MATCH(Base!$G37,'Dólar Spot'!$A:$A,0)),"")</f>
        <v/>
      </c>
      <c r="L35" s="8">
        <v>254000000</v>
      </c>
      <c r="M35" s="7">
        <f>IF(N35="USD",L35*K35/1000000,L35/1000000)</f>
        <v>254</v>
      </c>
      <c r="N35" s="6" t="s">
        <v>348</v>
      </c>
      <c r="O35" s="9" t="str" cm="1">
        <f t="array" ref="O35">INDEX(Ratings!$B$2:$L$42,_xlfn.XMATCH(Base!E37,Ratings!$A$2:$A$42),_xlfn.XMATCH(YEAR(Base!G37),Ratings!$B$1:$L$1))</f>
        <v>BBB-</v>
      </c>
      <c r="P35">
        <f>IF(AND(O35&lt;&gt;"BBB-",O35&lt;&gt;"BBB",O35&lt;&gt;"BBB+"),0,1)</f>
        <v>1</v>
      </c>
      <c r="Q35" s="7">
        <f>INDEX('Bonds ANBIMA'!$F:$F,MATCH(Base!$B37,'Bonds ANBIMA'!$A:$A,0))</f>
        <v>1648.2683486486485</v>
      </c>
      <c r="R35" s="21">
        <f>INDEX('Bonds ANBIMA'!$H:$H,MATCH(Base!$B37,'Bonds ANBIMA'!$A:$A,0))</f>
        <v>0.81690140845070425</v>
      </c>
      <c r="S35" s="7">
        <f>INDEX('Debêntures ANBIMA'!$O:$O,MATCH(Base!$B37,'Debêntures ANBIMA'!$A:$A,0))</f>
        <v>205.0157142857143</v>
      </c>
      <c r="T35" s="24">
        <f>INDEX('Debêntures ANBIMA'!$P:$P,MATCH(Base!$B37,'Debêntures ANBIMA'!$A:$A,0))</f>
        <v>0.82833480426985795</v>
      </c>
    </row>
    <row r="36" spans="1:20" x14ac:dyDescent="0.35">
      <c r="A36">
        <f>YEAR(B36)</f>
        <v>2017</v>
      </c>
      <c r="B36" s="12">
        <f>DATE(YEAR(G36),MONTH(G36),DAY(1))</f>
        <v>42948</v>
      </c>
      <c r="C36">
        <f>IF(E36&lt;&gt;E35,C35+1,C35)</f>
        <v>4</v>
      </c>
      <c r="D36" s="6" t="s">
        <v>298</v>
      </c>
      <c r="E36" s="6" t="s">
        <v>23</v>
      </c>
      <c r="F36" s="6" t="s">
        <v>346</v>
      </c>
      <c r="G36" s="1">
        <v>42950</v>
      </c>
      <c r="H36" s="1">
        <v>44046</v>
      </c>
      <c r="I36" s="7">
        <f>IF(H36-G36&gt;(365*5),1,0)</f>
        <v>0</v>
      </c>
      <c r="J36" s="6">
        <v>1</v>
      </c>
      <c r="K36" s="9" t="str">
        <f>IF($N36="USD",INDEX('Dólar Spot'!$C:$C,MATCH(Base!$G38,'Dólar Spot'!$A:$A,0)),"")</f>
        <v/>
      </c>
      <c r="L36" s="8">
        <v>88000000</v>
      </c>
      <c r="M36" s="7">
        <f>IF(N36="USD",L36*K36/1000000,L36/1000000)</f>
        <v>88</v>
      </c>
      <c r="N36" s="6" t="s">
        <v>348</v>
      </c>
      <c r="O36" s="9" t="str" cm="1">
        <f t="array" ref="O36">INDEX(Ratings!$B$2:$L$42,_xlfn.XMATCH(Base!E38,Ratings!$A$2:$A$42),_xlfn.XMATCH(YEAR(Base!G38),Ratings!$B$1:$L$1))</f>
        <v>BBB-</v>
      </c>
      <c r="P36">
        <f>IF(AND(O36&lt;&gt;"BBB-",O36&lt;&gt;"BBB",O36&lt;&gt;"BBB+"),0,1)</f>
        <v>1</v>
      </c>
      <c r="Q36" s="7">
        <f>INDEX('Bonds ANBIMA'!$F:$F,MATCH(Base!$B38,'Bonds ANBIMA'!$A:$A,0))</f>
        <v>2431.6276966666665</v>
      </c>
      <c r="R36" s="21">
        <f>INDEX('Bonds ANBIMA'!$H:$H,MATCH(Base!$B38,'Bonds ANBIMA'!$A:$A,0))</f>
        <v>0.61224489795918369</v>
      </c>
      <c r="S36" s="7">
        <f>INDEX('Debêntures ANBIMA'!$O:$O,MATCH(Base!$B38,'Debêntures ANBIMA'!$A:$A,0))</f>
        <v>138.75222222222223</v>
      </c>
      <c r="T36" s="24">
        <f>INDEX('Debêntures ANBIMA'!$P:$P,MATCH(Base!$B38,'Debêntures ANBIMA'!$A:$A,0))</f>
        <v>0.79423279733802221</v>
      </c>
    </row>
    <row r="37" spans="1:20" x14ac:dyDescent="0.35">
      <c r="A37">
        <f>YEAR(B37)</f>
        <v>2012</v>
      </c>
      <c r="B37" s="12">
        <f>DATE(YEAR(G37),MONTH(G37),DAY(1))</f>
        <v>41061</v>
      </c>
      <c r="C37">
        <f>IF(E37&lt;&gt;E36,C36+1,C36)</f>
        <v>4</v>
      </c>
      <c r="D37" s="6" t="s">
        <v>298</v>
      </c>
      <c r="E37" s="6" t="s">
        <v>23</v>
      </c>
      <c r="F37" s="6" t="s">
        <v>346</v>
      </c>
      <c r="G37" s="1">
        <v>41075</v>
      </c>
      <c r="H37" s="1">
        <v>42901</v>
      </c>
      <c r="I37" s="7">
        <f>IF(H37-G37&gt;(365*5),1,0)</f>
        <v>1</v>
      </c>
      <c r="J37" s="6">
        <v>1</v>
      </c>
      <c r="K37" s="9" t="str">
        <f>IF($N37="USD",INDEX('Dólar Spot'!$C:$C,MATCH(Base!$G39,'Dólar Spot'!$A:$A,0)),"")</f>
        <v/>
      </c>
      <c r="L37" s="8">
        <v>82940000</v>
      </c>
      <c r="M37" s="7">
        <f>IF(N37="USD",L37*K37/1000000,L37/1000000)</f>
        <v>82.94</v>
      </c>
      <c r="N37" s="6" t="s">
        <v>348</v>
      </c>
      <c r="O37" s="9" t="str" cm="1">
        <f t="array" ref="O37">INDEX(Ratings!$B$2:$L$42,_xlfn.XMATCH(Base!E39,Ratings!$A$2:$A$42),_xlfn.XMATCH(YEAR(Base!G39),Ratings!$B$1:$L$1))</f>
        <v>CCC-</v>
      </c>
      <c r="P37">
        <f>IF(AND(O37&lt;&gt;"BBB-",O37&lt;&gt;"BBB",O37&lt;&gt;"BBB+"),0,1)</f>
        <v>0</v>
      </c>
      <c r="Q37" s="7">
        <f>INDEX('Bonds ANBIMA'!$F:$F,MATCH(Base!$B39,'Bonds ANBIMA'!$A:$A,0))</f>
        <v>468.41731428571421</v>
      </c>
      <c r="R37" s="21">
        <f>INDEX('Bonds ANBIMA'!$H:$H,MATCH(Base!$B39,'Bonds ANBIMA'!$A:$A,0))</f>
        <v>0.78787878787878785</v>
      </c>
      <c r="S37" s="7">
        <f>INDEX('Debêntures ANBIMA'!$O:$O,MATCH(Base!$B39,'Debêntures ANBIMA'!$A:$A,0))</f>
        <v>201.45968115942031</v>
      </c>
      <c r="T37" s="24">
        <f>INDEX('Debêntures ANBIMA'!$P:$P,MATCH(Base!$B39,'Debêntures ANBIMA'!$A:$A,0))</f>
        <v>0.85244165467238142</v>
      </c>
    </row>
    <row r="38" spans="1:20" x14ac:dyDescent="0.35">
      <c r="A38">
        <f>YEAR(B38)</f>
        <v>2013</v>
      </c>
      <c r="B38" s="12">
        <f>DATE(YEAR(G38),MONTH(G38),DAY(1))</f>
        <v>41579</v>
      </c>
      <c r="C38">
        <f>IF(E38&lt;&gt;E37,C37+1,C37)</f>
        <v>4</v>
      </c>
      <c r="D38" s="6" t="s">
        <v>298</v>
      </c>
      <c r="E38" s="6" t="s">
        <v>23</v>
      </c>
      <c r="F38" s="6" t="s">
        <v>346</v>
      </c>
      <c r="G38" s="1">
        <v>41593</v>
      </c>
      <c r="H38" s="1">
        <v>42019</v>
      </c>
      <c r="I38" s="7">
        <f>IF(H38-G38&gt;(365*5),1,0)</f>
        <v>0</v>
      </c>
      <c r="J38" s="6">
        <v>1</v>
      </c>
      <c r="K38" s="9" t="str">
        <f>IF($N38="USD",INDEX('Dólar Spot'!$C:$C,MATCH(Base!$G40,'Dólar Spot'!$A:$A,0)),"")</f>
        <v/>
      </c>
      <c r="L38" s="8">
        <v>180000000</v>
      </c>
      <c r="M38" s="7">
        <f>IF(N38="USD",L38*K38/1000000,L38/1000000)</f>
        <v>180</v>
      </c>
      <c r="N38" s="6" t="s">
        <v>348</v>
      </c>
      <c r="O38" s="9" t="str" cm="1">
        <f t="array" ref="O38">INDEX(Ratings!$B$2:$L$42,_xlfn.XMATCH(Base!E40,Ratings!$A$2:$A$42),_xlfn.XMATCH(YEAR(Base!G40),Ratings!$B$1:$L$1))</f>
        <v>BBB-</v>
      </c>
      <c r="P38">
        <f>IF(AND(O38&lt;&gt;"BBB-",O38&lt;&gt;"BBB",O38&lt;&gt;"BBB+"),0,1)</f>
        <v>1</v>
      </c>
      <c r="Q38" s="7">
        <f>INDEX('Bonds ANBIMA'!$F:$F,MATCH(Base!$B40,'Bonds ANBIMA'!$A:$A,0))</f>
        <v>1648.2683486486485</v>
      </c>
      <c r="R38" s="21">
        <f>INDEX('Bonds ANBIMA'!$H:$H,MATCH(Base!$B40,'Bonds ANBIMA'!$A:$A,0))</f>
        <v>0.81690140845070425</v>
      </c>
      <c r="S38" s="7">
        <f>INDEX('Debêntures ANBIMA'!$O:$O,MATCH(Base!$B40,'Debêntures ANBIMA'!$A:$A,0))</f>
        <v>205.0157142857143</v>
      </c>
      <c r="T38" s="24">
        <f>INDEX('Debêntures ANBIMA'!$P:$P,MATCH(Base!$B40,'Debêntures ANBIMA'!$A:$A,0))</f>
        <v>0.82833480426985795</v>
      </c>
    </row>
    <row r="39" spans="1:20" x14ac:dyDescent="0.35">
      <c r="A39">
        <f>YEAR(B39)</f>
        <v>2019</v>
      </c>
      <c r="B39" s="12">
        <f>DATE(YEAR(G39),MONTH(G39),DAY(1))</f>
        <v>43800</v>
      </c>
      <c r="C39">
        <f>IF(E39&lt;&gt;E38,C38+1,C38)</f>
        <v>4</v>
      </c>
      <c r="D39" s="6" t="s">
        <v>298</v>
      </c>
      <c r="E39" s="6" t="s">
        <v>23</v>
      </c>
      <c r="F39" s="6" t="s">
        <v>346</v>
      </c>
      <c r="G39" s="1">
        <v>43808</v>
      </c>
      <c r="H39" s="1">
        <v>46000</v>
      </c>
      <c r="I39" s="7">
        <f>IF(H39-G39&gt;(365*5),1,0)</f>
        <v>1</v>
      </c>
      <c r="J39" s="6">
        <v>1</v>
      </c>
      <c r="K39" s="9" t="str">
        <f>IF($N39="USD",INDEX('Dólar Spot'!$C:$C,MATCH(Base!$G41,'Dólar Spot'!$A:$A,0)),"")</f>
        <v/>
      </c>
      <c r="L39" s="8">
        <v>550000000</v>
      </c>
      <c r="M39" s="7">
        <f>IF(N39="USD",L39*K39/1000000,L39/1000000)</f>
        <v>550</v>
      </c>
      <c r="N39" s="6" t="s">
        <v>348</v>
      </c>
      <c r="O39" s="9" t="str" cm="1">
        <f t="array" ref="O39">INDEX(Ratings!$B$2:$L$42,_xlfn.XMATCH(Base!E41,Ratings!$A$2:$A$42),_xlfn.XMATCH(YEAR(Base!G41),Ratings!$B$1:$L$1))</f>
        <v>BBB-</v>
      </c>
      <c r="P39">
        <f>IF(AND(O39&lt;&gt;"BBB-",O39&lt;&gt;"BBB",O39&lt;&gt;"BBB+"),0,1)</f>
        <v>1</v>
      </c>
      <c r="Q39" s="7">
        <f>INDEX('Bonds ANBIMA'!$F:$F,MATCH(Base!$B41,'Bonds ANBIMA'!$A:$A,0))</f>
        <v>1648.2683486486485</v>
      </c>
      <c r="R39" s="21">
        <f>INDEX('Bonds ANBIMA'!$H:$H,MATCH(Base!$B41,'Bonds ANBIMA'!$A:$A,0))</f>
        <v>0.81690140845070425</v>
      </c>
      <c r="S39" s="7">
        <f>INDEX('Debêntures ANBIMA'!$O:$O,MATCH(Base!$B41,'Debêntures ANBIMA'!$A:$A,0))</f>
        <v>205.0157142857143</v>
      </c>
      <c r="T39" s="24">
        <f>INDEX('Debêntures ANBIMA'!$P:$P,MATCH(Base!$B41,'Debêntures ANBIMA'!$A:$A,0))</f>
        <v>0.82833480426985795</v>
      </c>
    </row>
    <row r="40" spans="1:20" x14ac:dyDescent="0.35">
      <c r="A40">
        <f>YEAR(B40)</f>
        <v>2012</v>
      </c>
      <c r="B40" s="12">
        <f>DATE(YEAR(G40),MONTH(G40),DAY(1))</f>
        <v>41061</v>
      </c>
      <c r="C40">
        <f>IF(E40&lt;&gt;E39,C39+1,C39)</f>
        <v>4</v>
      </c>
      <c r="D40" s="6" t="s">
        <v>298</v>
      </c>
      <c r="E40" s="6" t="s">
        <v>23</v>
      </c>
      <c r="F40" s="6" t="s">
        <v>346</v>
      </c>
      <c r="G40" s="1">
        <v>41075</v>
      </c>
      <c r="H40" s="1">
        <v>43631</v>
      </c>
      <c r="I40" s="7">
        <f>IF(H40-G40&gt;(365*5),1,0)</f>
        <v>1</v>
      </c>
      <c r="J40" s="6">
        <v>1</v>
      </c>
      <c r="K40" s="9" t="str">
        <f>IF($N40="USD",INDEX('Dólar Spot'!$C:$C,MATCH(Base!$G42,'Dólar Spot'!$A:$A,0)),"")</f>
        <v/>
      </c>
      <c r="L40" s="8">
        <v>78450000</v>
      </c>
      <c r="M40" s="7">
        <f>IF(N40="USD",L40*K40/1000000,L40/1000000)</f>
        <v>78.45</v>
      </c>
      <c r="N40" s="6" t="s">
        <v>348</v>
      </c>
      <c r="O40" s="9" t="str" cm="1">
        <f t="array" ref="O40">INDEX(Ratings!$B$2:$L$42,_xlfn.XMATCH(Base!E42,Ratings!$A$2:$A$42),_xlfn.XMATCH(YEAR(Base!G42),Ratings!$B$1:$L$1))</f>
        <v>BBB-</v>
      </c>
      <c r="P40">
        <f>IF(AND(O40&lt;&gt;"BBB-",O40&lt;&gt;"BBB",O40&lt;&gt;"BBB+"),0,1)</f>
        <v>1</v>
      </c>
      <c r="Q40" s="7">
        <f>INDEX('Bonds ANBIMA'!$F:$F,MATCH(Base!$B42,'Bonds ANBIMA'!$A:$A,0))</f>
        <v>1671.3360756756758</v>
      </c>
      <c r="R40" s="21">
        <f>INDEX('Bonds ANBIMA'!$H:$H,MATCH(Base!$B42,'Bonds ANBIMA'!$A:$A,0))</f>
        <v>0.81690140845070425</v>
      </c>
      <c r="S40" s="7">
        <f>INDEX('Debêntures ANBIMA'!$O:$O,MATCH(Base!$B42,'Debêntures ANBIMA'!$A:$A,0))</f>
        <v>384.58057142857143</v>
      </c>
      <c r="T40" s="24">
        <f>INDEX('Debêntures ANBIMA'!$P:$P,MATCH(Base!$B42,'Debêntures ANBIMA'!$A:$A,0))</f>
        <v>0.8593261800811931</v>
      </c>
    </row>
    <row r="41" spans="1:20" x14ac:dyDescent="0.35">
      <c r="A41">
        <f>YEAR(B41)</f>
        <v>2012</v>
      </c>
      <c r="B41" s="12">
        <f>DATE(YEAR(G41),MONTH(G41),DAY(1))</f>
        <v>41061</v>
      </c>
      <c r="C41">
        <f>IF(E41&lt;&gt;E40,C40+1,C40)</f>
        <v>4</v>
      </c>
      <c r="D41" s="6" t="s">
        <v>298</v>
      </c>
      <c r="E41" s="6" t="s">
        <v>23</v>
      </c>
      <c r="F41" s="6" t="s">
        <v>346</v>
      </c>
      <c r="G41" s="1">
        <v>41075</v>
      </c>
      <c r="H41" s="1">
        <v>44727</v>
      </c>
      <c r="I41" s="7">
        <f>IF(H41-G41&gt;(365*5),1,0)</f>
        <v>1</v>
      </c>
      <c r="J41" s="6">
        <v>1</v>
      </c>
      <c r="K41" s="9" t="str">
        <f>IF($N41="USD",INDEX('Dólar Spot'!$C:$C,MATCH(Base!$G43,'Dólar Spot'!$A:$A,0)),"")</f>
        <v/>
      </c>
      <c r="L41" s="8">
        <v>478060000</v>
      </c>
      <c r="M41" s="7">
        <f>IF(N41="USD",L41*K41/1000000,L41/1000000)</f>
        <v>478.06</v>
      </c>
      <c r="N41" s="6" t="s">
        <v>347</v>
      </c>
      <c r="O41" s="9" t="str" cm="1">
        <f t="array" ref="O41">INDEX(Ratings!$B$2:$L$42,_xlfn.XMATCH(Base!E43,Ratings!$A$2:$A$42),_xlfn.XMATCH(YEAR(Base!G43),Ratings!$B$1:$L$1))</f>
        <v>BBB-</v>
      </c>
      <c r="P41">
        <f>IF(AND(O41&lt;&gt;"BBB-",O41&lt;&gt;"BBB",O41&lt;&gt;"BBB+"),0,1)</f>
        <v>1</v>
      </c>
      <c r="Q41" s="7">
        <f>INDEX('Bonds ANBIMA'!$F:$F,MATCH(Base!$B43,'Bonds ANBIMA'!$A:$A,0))</f>
        <v>2484.8022746031747</v>
      </c>
      <c r="R41" s="21">
        <f>INDEX('Bonds ANBIMA'!$H:$H,MATCH(Base!$B43,'Bonds ANBIMA'!$A:$A,0))</f>
        <v>0.61224489795918369</v>
      </c>
      <c r="S41" s="7">
        <f>INDEX('Debêntures ANBIMA'!$O:$O,MATCH(Base!$B43,'Debêntures ANBIMA'!$A:$A,0))</f>
        <v>210.23809523809524</v>
      </c>
      <c r="T41" s="24">
        <f>INDEX('Debêntures ANBIMA'!$P:$P,MATCH(Base!$B43,'Debêntures ANBIMA'!$A:$A,0))</f>
        <v>0.57593431483578716</v>
      </c>
    </row>
    <row r="42" spans="1:20" x14ac:dyDescent="0.35">
      <c r="A42">
        <f>YEAR(B42)</f>
        <v>2012</v>
      </c>
      <c r="B42" s="12">
        <f>DATE(YEAR(G42),MONTH(G42),DAY(1))</f>
        <v>41244</v>
      </c>
      <c r="C42">
        <f>IF(E42&lt;&gt;E41,C41+1,C41)</f>
        <v>4</v>
      </c>
      <c r="D42" s="6" t="s">
        <v>299</v>
      </c>
      <c r="E42" s="6" t="s">
        <v>23</v>
      </c>
      <c r="F42" s="6" t="s">
        <v>346</v>
      </c>
      <c r="G42" s="1">
        <v>41253</v>
      </c>
      <c r="H42" s="1">
        <v>41983</v>
      </c>
      <c r="I42" s="7">
        <f>IF(H42-G42&gt;(365*5),1,0)</f>
        <v>0</v>
      </c>
      <c r="J42" s="6">
        <v>1</v>
      </c>
      <c r="K42" s="9" t="str">
        <f>IF($N42="USD",INDEX('Dólar Spot'!$C:$C,MATCH(Base!$G44,'Dólar Spot'!$A:$A,0)),"")</f>
        <v/>
      </c>
      <c r="L42" s="8">
        <v>400000000</v>
      </c>
      <c r="M42" s="7">
        <f>IF(N42="USD",L42*K42/1000000,L42/1000000)</f>
        <v>400</v>
      </c>
      <c r="N42" s="6" t="s">
        <v>348</v>
      </c>
      <c r="O42" s="9" t="str" cm="1">
        <f t="array" ref="O42">INDEX(Ratings!$B$2:$L$42,_xlfn.XMATCH(Base!E44,Ratings!$A$2:$A$42),_xlfn.XMATCH(YEAR(Base!G44),Ratings!$B$1:$L$1))</f>
        <v>BBB-</v>
      </c>
      <c r="P42">
        <f>IF(AND(O42&lt;&gt;"BBB-",O42&lt;&gt;"BBB",O42&lt;&gt;"BBB+"),0,1)</f>
        <v>1</v>
      </c>
      <c r="Q42" s="7">
        <f>INDEX('Bonds ANBIMA'!$F:$F,MATCH(Base!$B44,'Bonds ANBIMA'!$A:$A,0))</f>
        <v>2226.0844074193546</v>
      </c>
      <c r="R42" s="21">
        <f>INDEX('Bonds ANBIMA'!$H:$H,MATCH(Base!$B44,'Bonds ANBIMA'!$A:$A,0))</f>
        <v>0.7592592592592593</v>
      </c>
      <c r="S42" s="7">
        <f>INDEX('Debêntures ANBIMA'!$O:$O,MATCH(Base!$B44,'Debêntures ANBIMA'!$A:$A,0))</f>
        <v>427.50950000000006</v>
      </c>
      <c r="T42" s="24">
        <f>INDEX('Debêntures ANBIMA'!$P:$P,MATCH(Base!$B44,'Debêntures ANBIMA'!$A:$A,0))</f>
        <v>0.79220877139326196</v>
      </c>
    </row>
    <row r="43" spans="1:20" x14ac:dyDescent="0.35">
      <c r="A43">
        <f>YEAR(B43)</f>
        <v>2013</v>
      </c>
      <c r="B43" s="12">
        <f>DATE(YEAR(G43),MONTH(G43),DAY(1))</f>
        <v>41609</v>
      </c>
      <c r="C43">
        <f>IF(E43&lt;&gt;E42,C42+1,C42)</f>
        <v>4</v>
      </c>
      <c r="D43" s="6" t="s">
        <v>299</v>
      </c>
      <c r="E43" s="6" t="s">
        <v>23</v>
      </c>
      <c r="F43" s="6" t="s">
        <v>346</v>
      </c>
      <c r="G43" s="1">
        <v>41625</v>
      </c>
      <c r="H43" s="1">
        <v>42355</v>
      </c>
      <c r="I43" s="7">
        <f>IF(H43-G43&gt;(365*5),1,0)</f>
        <v>0</v>
      </c>
      <c r="J43" s="6">
        <v>1</v>
      </c>
      <c r="K43" s="9" t="str">
        <f>IF($N43="USD",INDEX('Dólar Spot'!$C:$C,MATCH(Base!$G45,'Dólar Spot'!$A:$A,0)),"")</f>
        <v/>
      </c>
      <c r="L43" s="8">
        <v>430000000</v>
      </c>
      <c r="M43" s="7">
        <f>IF(N43="USD",L43*K43/1000000,L43/1000000)</f>
        <v>430</v>
      </c>
      <c r="N43" s="6" t="s">
        <v>348</v>
      </c>
      <c r="O43" s="9" t="str" cm="1">
        <f t="array" ref="O43">INDEX(Ratings!$B$2:$L$42,_xlfn.XMATCH(Base!E45,Ratings!$A$2:$A$42),_xlfn.XMATCH(YEAR(Base!G45),Ratings!$B$1:$L$1))</f>
        <v>CCC-</v>
      </c>
      <c r="P43">
        <f>IF(AND(O43&lt;&gt;"BBB-",O43&lt;&gt;"BBB",O43&lt;&gt;"BBB+"),0,1)</f>
        <v>0</v>
      </c>
      <c r="Q43" s="7">
        <f>INDEX('Bonds ANBIMA'!$F:$F,MATCH(Base!$B45,'Bonds ANBIMA'!$A:$A,0))</f>
        <v>0</v>
      </c>
      <c r="R43" s="21">
        <f>INDEX('Bonds ANBIMA'!$H:$H,MATCH(Base!$B45,'Bonds ANBIMA'!$A:$A,0))</f>
        <v>0.73684210526315796</v>
      </c>
      <c r="S43" s="7">
        <f>INDEX('Debêntures ANBIMA'!$O:$O,MATCH(Base!$B45,'Debêntures ANBIMA'!$A:$A,0))</f>
        <v>403.55690387500005</v>
      </c>
      <c r="T43" s="24">
        <f>INDEX('Debêntures ANBIMA'!$P:$P,MATCH(Base!$B45,'Debêntures ANBIMA'!$A:$A,0))</f>
        <v>0.70858925616739066</v>
      </c>
    </row>
    <row r="44" spans="1:20" x14ac:dyDescent="0.35">
      <c r="A44">
        <f>YEAR(B44)</f>
        <v>2014</v>
      </c>
      <c r="B44" s="12">
        <f>DATE(YEAR(G44),MONTH(G44),DAY(1))</f>
        <v>41944</v>
      </c>
      <c r="C44">
        <f>IF(E44&lt;&gt;E43,C43+1,C43)</f>
        <v>4</v>
      </c>
      <c r="D44" s="6" t="s">
        <v>299</v>
      </c>
      <c r="E44" s="6" t="s">
        <v>23</v>
      </c>
      <c r="F44" s="6" t="s">
        <v>346</v>
      </c>
      <c r="G44" s="1">
        <v>41962</v>
      </c>
      <c r="H44" s="1">
        <v>43058</v>
      </c>
      <c r="I44" s="7">
        <f>IF(H44-G44&gt;(365*5),1,0)</f>
        <v>0</v>
      </c>
      <c r="J44" s="6">
        <v>1</v>
      </c>
      <c r="K44" s="9" t="str">
        <f>IF($N44="USD",INDEX('Dólar Spot'!$C:$C,MATCH(Base!$G46,'Dólar Spot'!$A:$A,0)),"")</f>
        <v/>
      </c>
      <c r="L44" s="8">
        <v>600000000</v>
      </c>
      <c r="M44" s="7">
        <f>IF(N44="USD",L44*K44/1000000,L44/1000000)</f>
        <v>600</v>
      </c>
      <c r="N44" s="6" t="s">
        <v>348</v>
      </c>
      <c r="O44" s="9" t="str" cm="1">
        <f t="array" ref="O44">INDEX(Ratings!$B$2:$L$42,_xlfn.XMATCH(Base!E46,Ratings!$A$2:$A$42),_xlfn.XMATCH(YEAR(Base!G46),Ratings!$B$1:$L$1))</f>
        <v>CCC+</v>
      </c>
      <c r="P44">
        <f>IF(AND(O44&lt;&gt;"BBB-",O44&lt;&gt;"BBB",O44&lt;&gt;"BBB+"),0,1)</f>
        <v>0</v>
      </c>
      <c r="Q44" s="7">
        <f>INDEX('Bonds ANBIMA'!$F:$F,MATCH(Base!$B46,'Bonds ANBIMA'!$A:$A,0))</f>
        <v>4407.4187499999998</v>
      </c>
      <c r="R44" s="21">
        <f>INDEX('Bonds ANBIMA'!$H:$H,MATCH(Base!$B46,'Bonds ANBIMA'!$A:$A,0))</f>
        <v>0.75</v>
      </c>
      <c r="S44" s="7">
        <f>INDEX('Debêntures ANBIMA'!$O:$O,MATCH(Base!$B46,'Debêntures ANBIMA'!$A:$A,0))</f>
        <v>370.50270588235298</v>
      </c>
      <c r="T44" s="24">
        <f>INDEX('Debêntures ANBIMA'!$P:$P,MATCH(Base!$B46,'Debêntures ANBIMA'!$A:$A,0))</f>
        <v>0.71227947317539486</v>
      </c>
    </row>
    <row r="45" spans="1:20" x14ac:dyDescent="0.35">
      <c r="A45">
        <f>YEAR(B45)</f>
        <v>2018</v>
      </c>
      <c r="B45" s="12">
        <f>DATE(YEAR(G45),MONTH(G45),DAY(1))</f>
        <v>43313</v>
      </c>
      <c r="C45">
        <f>IF(E45&lt;&gt;E44,C44+1,C44)</f>
        <v>4</v>
      </c>
      <c r="D45" s="6" t="s">
        <v>299</v>
      </c>
      <c r="E45" s="6" t="s">
        <v>23</v>
      </c>
      <c r="F45" s="6" t="s">
        <v>346</v>
      </c>
      <c r="G45" s="1">
        <v>43327</v>
      </c>
      <c r="H45" s="1">
        <v>45884</v>
      </c>
      <c r="I45" s="7">
        <f>IF(H45-G45&gt;(365*5),1,0)</f>
        <v>1</v>
      </c>
      <c r="J45" s="6">
        <v>1</v>
      </c>
      <c r="K45" s="9" t="str">
        <f>IF($N45="USD",INDEX('Dólar Spot'!$C:$C,MATCH(Base!$G47,'Dólar Spot'!$A:$A,0)),"")</f>
        <v/>
      </c>
      <c r="L45" s="8">
        <v>252000000</v>
      </c>
      <c r="M45" s="7">
        <f>IF(N45="USD",L45*K45/1000000,L45/1000000)</f>
        <v>252</v>
      </c>
      <c r="N45" s="6" t="s">
        <v>348</v>
      </c>
      <c r="O45" s="9" t="str" cm="1">
        <f t="array" ref="O45">INDEX(Ratings!$B$2:$L$42,_xlfn.XMATCH(Base!E47,Ratings!$A$2:$A$42),_xlfn.XMATCH(YEAR(Base!G47),Ratings!$B$1:$L$1))</f>
        <v>NR</v>
      </c>
      <c r="P45">
        <f>IF(AND(O45&lt;&gt;"BBB-",O45&lt;&gt;"BBB",O45&lt;&gt;"BBB+"),0,1)</f>
        <v>0</v>
      </c>
      <c r="Q45" s="7">
        <f>INDEX('Bonds ANBIMA'!$F:$F,MATCH(Base!$B47,'Bonds ANBIMA'!$A:$A,0))</f>
        <v>3031.1061904761905</v>
      </c>
      <c r="R45" s="21">
        <f>INDEX('Bonds ANBIMA'!$H:$H,MATCH(Base!$B47,'Bonds ANBIMA'!$A:$A,0))</f>
        <v>0.9</v>
      </c>
      <c r="S45" s="7">
        <f>INDEX('Debêntures ANBIMA'!$O:$O,MATCH(Base!$B47,'Debêntures ANBIMA'!$A:$A,0))</f>
        <v>357.79854054054056</v>
      </c>
      <c r="T45" s="24">
        <f>INDEX('Debêntures ANBIMA'!$P:$P,MATCH(Base!$B47,'Debêntures ANBIMA'!$A:$A,0))</f>
        <v>0.81983307170430497</v>
      </c>
    </row>
    <row r="46" spans="1:20" x14ac:dyDescent="0.35">
      <c r="A46">
        <f>YEAR(B46)</f>
        <v>2021</v>
      </c>
      <c r="B46" s="12">
        <f>DATE(YEAR(G46),MONTH(G46),DAY(1))</f>
        <v>44348</v>
      </c>
      <c r="C46">
        <f>IF(E46&lt;&gt;E45,C45+1,C45)</f>
        <v>5</v>
      </c>
      <c r="D46" s="6" t="s">
        <v>27</v>
      </c>
      <c r="E46" s="6" t="s">
        <v>26</v>
      </c>
      <c r="F46" s="6" t="s">
        <v>233</v>
      </c>
      <c r="G46" s="1">
        <v>44362</v>
      </c>
      <c r="H46" s="1" t="s">
        <v>28</v>
      </c>
      <c r="I46" s="7">
        <f>IF(H46-G46&gt;(365*5),1,0)</f>
        <v>1</v>
      </c>
      <c r="J46" s="22">
        <v>1</v>
      </c>
      <c r="K46" s="9">
        <f>IF($N46="USD",INDEX('Dólar Spot'!$C:$C,MATCH(Base!$G48,'Dólar Spot'!$A:$A,0)),"")</f>
        <v>1.5952</v>
      </c>
      <c r="L46" s="8">
        <v>600000000</v>
      </c>
      <c r="M46" s="7">
        <f>IF(N46="USD",L46*K46/1000000,L46/1000000)</f>
        <v>957.12</v>
      </c>
      <c r="N46" s="6" t="s">
        <v>16</v>
      </c>
      <c r="O46" s="9" t="str" cm="1">
        <f t="array" ref="O46">INDEX(Ratings!$B$2:$L$42,_xlfn.XMATCH(Base!E48,Ratings!$A$2:$A$42),_xlfn.XMATCH(YEAR(Base!G48),Ratings!$B$1:$L$1))</f>
        <v>NR</v>
      </c>
      <c r="P46">
        <f>IF(AND(O46&lt;&gt;"BBB-",O46&lt;&gt;"BBB",O46&lt;&gt;"BBB+"),0,1)</f>
        <v>0</v>
      </c>
      <c r="Q46" s="7">
        <f>INDEX('Bonds ANBIMA'!$F:$F,MATCH(Base!$B48,'Bonds ANBIMA'!$A:$A,0))</f>
        <v>1408.4616384615385</v>
      </c>
      <c r="R46" s="21">
        <f>INDEX('Bonds ANBIMA'!$H:$H,MATCH(Base!$B48,'Bonds ANBIMA'!$A:$A,0))</f>
        <v>0.5862068965517242</v>
      </c>
      <c r="S46" s="7">
        <f>INDEX('Debêntures ANBIMA'!$O:$O,MATCH(Base!$B48,'Debêntures ANBIMA'!$A:$A,0))</f>
        <v>558.13793103448279</v>
      </c>
      <c r="T46" s="24">
        <f>INDEX('Debêntures ANBIMA'!$P:$P,MATCH(Base!$B48,'Debêntures ANBIMA'!$A:$A,0))</f>
        <v>0.95063635240331146</v>
      </c>
    </row>
    <row r="47" spans="1:20" x14ac:dyDescent="0.35">
      <c r="A47">
        <f>YEAR(B47)</f>
        <v>2017</v>
      </c>
      <c r="B47" s="12">
        <f>DATE(YEAR(G47),MONTH(G47),DAY(1))</f>
        <v>43009</v>
      </c>
      <c r="C47">
        <f>IF(E47&lt;&gt;E46,C46+1,C46)</f>
        <v>5</v>
      </c>
      <c r="D47" s="6" t="s">
        <v>27</v>
      </c>
      <c r="E47" s="6" t="s">
        <v>26</v>
      </c>
      <c r="F47" s="6" t="s">
        <v>233</v>
      </c>
      <c r="G47" s="1">
        <v>43034</v>
      </c>
      <c r="H47" s="1" t="s">
        <v>29</v>
      </c>
      <c r="I47" s="7">
        <f>IF(H47-G47&gt;(365*5),1,0)</f>
        <v>1</v>
      </c>
      <c r="J47" s="22">
        <v>0</v>
      </c>
      <c r="K47" s="9">
        <f>IF($N47="USD",INDEX('Dólar Spot'!$C:$C,MATCH(Base!$G49,'Dólar Spot'!$A:$A,0)),"")</f>
        <v>2.0245000000000002</v>
      </c>
      <c r="L47" s="8">
        <v>400000000</v>
      </c>
      <c r="M47" s="7">
        <f>IF(N47="USD",L47*K47/1000000,L47/1000000)</f>
        <v>809.80000000000007</v>
      </c>
      <c r="N47" s="6" t="s">
        <v>16</v>
      </c>
      <c r="O47" s="9" t="str" cm="1">
        <f t="array" ref="O47">INDEX(Ratings!$B$2:$L$42,_xlfn.XMATCH(Base!E49,Ratings!$A$2:$A$42),_xlfn.XMATCH(YEAR(Base!G49),Ratings!$B$1:$L$1))</f>
        <v>NR</v>
      </c>
      <c r="P47">
        <f>IF(AND(O47&lt;&gt;"BBB-",O47&lt;&gt;"BBB",O47&lt;&gt;"BBB+"),0,1)</f>
        <v>0</v>
      </c>
      <c r="Q47" s="7">
        <f>INDEX('Bonds ANBIMA'!$F:$F,MATCH(Base!$B49,'Bonds ANBIMA'!$A:$A,0))</f>
        <v>1631.3155405405405</v>
      </c>
      <c r="R47" s="21">
        <f>INDEX('Bonds ANBIMA'!$H:$H,MATCH(Base!$B49,'Bonds ANBIMA'!$A:$A,0))</f>
        <v>0.81690140845070425</v>
      </c>
      <c r="S47" s="7">
        <f>INDEX('Debêntures ANBIMA'!$O:$O,MATCH(Base!$B49,'Debêntures ANBIMA'!$A:$A,0))</f>
        <v>273.69687499999998</v>
      </c>
      <c r="T47" s="24">
        <f>INDEX('Debêntures ANBIMA'!$P:$P,MATCH(Base!$B49,'Debêntures ANBIMA'!$A:$A,0))</f>
        <v>0.76771990849315863</v>
      </c>
    </row>
    <row r="48" spans="1:20" x14ac:dyDescent="0.35">
      <c r="A48">
        <f>YEAR(B48)</f>
        <v>2011</v>
      </c>
      <c r="B48" s="12">
        <f>DATE(YEAR(G48),MONTH(G48),DAY(1))</f>
        <v>40695</v>
      </c>
      <c r="C48">
        <f>IF(E48&lt;&gt;E47,C47+1,C47)</f>
        <v>5</v>
      </c>
      <c r="D48" s="6" t="s">
        <v>300</v>
      </c>
      <c r="E48" s="6" t="s">
        <v>26</v>
      </c>
      <c r="F48" s="6" t="s">
        <v>346</v>
      </c>
      <c r="G48" s="1">
        <v>40709</v>
      </c>
      <c r="H48" s="1">
        <v>41805</v>
      </c>
      <c r="I48" s="7">
        <f>IF(H48-G48&gt;(365*5),1,0)</f>
        <v>0</v>
      </c>
      <c r="J48" s="6">
        <v>0</v>
      </c>
      <c r="K48" s="9" t="str">
        <f>IF($N48="USD",INDEX('Dólar Spot'!$C:$C,MATCH(Base!$G50,'Dólar Spot'!$A:$A,0)),"")</f>
        <v/>
      </c>
      <c r="L48" s="8">
        <v>300000000</v>
      </c>
      <c r="M48" s="7">
        <f>IF(N48="USD",L48*K48/1000000,L48/1000000)</f>
        <v>300</v>
      </c>
      <c r="N48" s="6" t="s">
        <v>348</v>
      </c>
      <c r="O48" s="9" t="str" cm="1">
        <f t="array" ref="O48">INDEX(Ratings!$B$2:$L$42,_xlfn.XMATCH(Base!E50,Ratings!$A$2:$A$42),_xlfn.XMATCH(YEAR(Base!G50),Ratings!$B$1:$L$1))</f>
        <v>NR</v>
      </c>
      <c r="P48">
        <f>IF(AND(O48&lt;&gt;"BBB-",O48&lt;&gt;"BBB",O48&lt;&gt;"BBB+"),0,1)</f>
        <v>0</v>
      </c>
      <c r="Q48" s="7">
        <f>INDEX('Bonds ANBIMA'!$F:$F,MATCH(Base!$B50,'Bonds ANBIMA'!$A:$A,0))</f>
        <v>2155.6445777777776</v>
      </c>
      <c r="R48" s="21">
        <f>INDEX('Bonds ANBIMA'!$H:$H,MATCH(Base!$B50,'Bonds ANBIMA'!$A:$A,0))</f>
        <v>0.61224489795918369</v>
      </c>
      <c r="S48" s="7">
        <f>INDEX('Debêntures ANBIMA'!$O:$O,MATCH(Base!$B50,'Debêntures ANBIMA'!$A:$A,0))</f>
        <v>246.57692307692307</v>
      </c>
      <c r="T48" s="24">
        <f>INDEX('Debêntures ANBIMA'!$P:$P,MATCH(Base!$B50,'Debêntures ANBIMA'!$A:$A,0))</f>
        <v>0.40960848541569173</v>
      </c>
    </row>
    <row r="49" spans="1:20" x14ac:dyDescent="0.35">
      <c r="A49">
        <f>YEAR(B49)</f>
        <v>2012</v>
      </c>
      <c r="B49" s="12">
        <f>DATE(YEAR(G49),MONTH(G49),DAY(1))</f>
        <v>41153</v>
      </c>
      <c r="C49">
        <f>IF(E49&lt;&gt;E48,C48+1,C48)</f>
        <v>5</v>
      </c>
      <c r="D49" s="6" t="s">
        <v>300</v>
      </c>
      <c r="E49" s="6" t="s">
        <v>26</v>
      </c>
      <c r="F49" s="6" t="s">
        <v>346</v>
      </c>
      <c r="G49" s="1">
        <v>41177</v>
      </c>
      <c r="H49" s="1">
        <v>42272</v>
      </c>
      <c r="I49" s="7">
        <f>IF(H49-G49&gt;(365*5),1,0)</f>
        <v>0</v>
      </c>
      <c r="J49" s="6">
        <v>0</v>
      </c>
      <c r="K49" s="9" t="str">
        <f>IF($N49="USD",INDEX('Dólar Spot'!$C:$C,MATCH(Base!$G51,'Dólar Spot'!$A:$A,0)),"")</f>
        <v/>
      </c>
      <c r="L49" s="8">
        <v>100000000</v>
      </c>
      <c r="M49" s="7">
        <f>IF(N49="USD",L49*K49/1000000,L49/1000000)</f>
        <v>100</v>
      </c>
      <c r="N49" s="6" t="s">
        <v>348</v>
      </c>
      <c r="O49" s="9" t="str" cm="1">
        <f t="array" ref="O49">INDEX(Ratings!$B$2:$L$42,_xlfn.XMATCH(Base!E51,Ratings!$A$2:$A$42),_xlfn.XMATCH(YEAR(Base!G51),Ratings!$B$1:$L$1))</f>
        <v>NR</v>
      </c>
      <c r="P49">
        <f>IF(AND(O49&lt;&gt;"BBB-",O49&lt;&gt;"BBB",O49&lt;&gt;"BBB+"),0,1)</f>
        <v>0</v>
      </c>
      <c r="Q49" s="7">
        <f>INDEX('Bonds ANBIMA'!$F:$F,MATCH(Base!$B51,'Bonds ANBIMA'!$A:$A,0))</f>
        <v>2081.8212996774196</v>
      </c>
      <c r="R49" s="21">
        <f>INDEX('Bonds ANBIMA'!$H:$H,MATCH(Base!$B51,'Bonds ANBIMA'!$A:$A,0))</f>
        <v>0.7592592592592593</v>
      </c>
      <c r="S49" s="7">
        <f>INDEX('Debêntures ANBIMA'!$O:$O,MATCH(Base!$B51,'Debêntures ANBIMA'!$A:$A,0))</f>
        <v>185.36068965517242</v>
      </c>
      <c r="T49" s="24">
        <f>INDEX('Debêntures ANBIMA'!$P:$P,MATCH(Base!$B51,'Debêntures ANBIMA'!$A:$A,0))</f>
        <v>0.47168709151825478</v>
      </c>
    </row>
    <row r="50" spans="1:20" x14ac:dyDescent="0.35">
      <c r="A50">
        <f>YEAR(B50)</f>
        <v>2013</v>
      </c>
      <c r="B50" s="12">
        <f>DATE(YEAR(G50),MONTH(G50),DAY(1))</f>
        <v>41395</v>
      </c>
      <c r="C50">
        <f>IF(E50&lt;&gt;E49,C49+1,C49)</f>
        <v>5</v>
      </c>
      <c r="D50" s="6" t="s">
        <v>300</v>
      </c>
      <c r="E50" s="6" t="s">
        <v>26</v>
      </c>
      <c r="F50" s="6" t="s">
        <v>346</v>
      </c>
      <c r="G50" s="1">
        <v>41421</v>
      </c>
      <c r="H50" s="1">
        <v>42396</v>
      </c>
      <c r="I50" s="7">
        <f>IF(H50-G50&gt;(365*5),1,0)</f>
        <v>0</v>
      </c>
      <c r="J50" s="6">
        <v>0</v>
      </c>
      <c r="K50" s="9" t="str">
        <f>IF($N50="USD",INDEX('Dólar Spot'!$C:$C,MATCH(Base!$G52,'Dólar Spot'!$A:$A,0)),"")</f>
        <v/>
      </c>
      <c r="L50" s="8">
        <v>300000000</v>
      </c>
      <c r="M50" s="7">
        <f>IF(N50="USD",L50*K50/1000000,L50/1000000)</f>
        <v>300</v>
      </c>
      <c r="N50" s="6" t="s">
        <v>348</v>
      </c>
      <c r="O50" s="9" t="str" cm="1">
        <f t="array" ref="O50">INDEX(Ratings!$B$2:$L$42,_xlfn.XMATCH(Base!E52,Ratings!$A$2:$A$42),_xlfn.XMATCH(YEAR(Base!G52),Ratings!$B$1:$L$1))</f>
        <v>NR</v>
      </c>
      <c r="P50">
        <f>IF(AND(O50&lt;&gt;"BBB-",O50&lt;&gt;"BBB",O50&lt;&gt;"BBB+"),0,1)</f>
        <v>0</v>
      </c>
      <c r="Q50" s="7">
        <f>INDEX('Bonds ANBIMA'!$F:$F,MATCH(Base!$B52,'Bonds ANBIMA'!$A:$A,0))</f>
        <v>2037.4124304985339</v>
      </c>
      <c r="R50" s="21">
        <f>INDEX('Bonds ANBIMA'!$H:$H,MATCH(Base!$B52,'Bonds ANBIMA'!$A:$A,0))</f>
        <v>0.7592592592592593</v>
      </c>
      <c r="S50" s="7">
        <f>INDEX('Debêntures ANBIMA'!$O:$O,MATCH(Base!$B52,'Debêntures ANBIMA'!$A:$A,0))</f>
        <v>256.3813001574074</v>
      </c>
      <c r="T50" s="24">
        <f>INDEX('Debêntures ANBIMA'!$P:$P,MATCH(Base!$B52,'Debêntures ANBIMA'!$A:$A,0))</f>
        <v>0.64091239261671062</v>
      </c>
    </row>
    <row r="51" spans="1:20" x14ac:dyDescent="0.35">
      <c r="A51">
        <f>YEAR(B51)</f>
        <v>2014</v>
      </c>
      <c r="B51" s="12">
        <f>DATE(YEAR(G51),MONTH(G51),DAY(1))</f>
        <v>41671</v>
      </c>
      <c r="C51">
        <f>IF(E51&lt;&gt;E50,C50+1,C50)</f>
        <v>5</v>
      </c>
      <c r="D51" s="6" t="s">
        <v>300</v>
      </c>
      <c r="E51" s="6" t="s">
        <v>26</v>
      </c>
      <c r="F51" s="6" t="s">
        <v>346</v>
      </c>
      <c r="G51" s="1">
        <v>41698</v>
      </c>
      <c r="H51" s="1">
        <v>42914</v>
      </c>
      <c r="I51" s="7">
        <f>IF(H51-G51&gt;(365*5),1,0)</f>
        <v>0</v>
      </c>
      <c r="J51" s="6">
        <v>0</v>
      </c>
      <c r="K51" s="9" t="str">
        <f>IF($N51="USD",INDEX('Dólar Spot'!$C:$C,MATCH(Base!$G53,'Dólar Spot'!$A:$A,0)),"")</f>
        <v/>
      </c>
      <c r="L51" s="8">
        <v>105000000</v>
      </c>
      <c r="M51" s="7">
        <f>IF(N51="USD",L51*K51/1000000,L51/1000000)</f>
        <v>105</v>
      </c>
      <c r="N51" s="6" t="s">
        <v>348</v>
      </c>
      <c r="O51" s="9" t="str" cm="1">
        <f t="array" ref="O51">INDEX(Ratings!$B$2:$L$42,_xlfn.XMATCH(Base!E53,Ratings!$A$2:$A$42),_xlfn.XMATCH(YEAR(Base!G53),Ratings!$B$1:$L$1))</f>
        <v>NR</v>
      </c>
      <c r="P51">
        <f>IF(AND(O51&lt;&gt;"BBB-",O51&lt;&gt;"BBB",O51&lt;&gt;"BBB+"),0,1)</f>
        <v>0</v>
      </c>
      <c r="Q51" s="7">
        <f>INDEX('Bonds ANBIMA'!$F:$F,MATCH(Base!$B53,'Bonds ANBIMA'!$A:$A,0))</f>
        <v>2929.4565909090911</v>
      </c>
      <c r="R51" s="21">
        <f>INDEX('Bonds ANBIMA'!$H:$H,MATCH(Base!$B53,'Bonds ANBIMA'!$A:$A,0))</f>
        <v>0.85714285714285721</v>
      </c>
      <c r="S51" s="7">
        <f>INDEX('Debêntures ANBIMA'!$O:$O,MATCH(Base!$B53,'Debêntures ANBIMA'!$A:$A,0))</f>
        <v>197.90450000000001</v>
      </c>
      <c r="T51" s="24">
        <f>INDEX('Debêntures ANBIMA'!$P:$P,MATCH(Base!$B53,'Debêntures ANBIMA'!$A:$A,0))</f>
        <v>0.40312625386019879</v>
      </c>
    </row>
    <row r="52" spans="1:20" x14ac:dyDescent="0.35">
      <c r="A52">
        <f>YEAR(B52)</f>
        <v>2014</v>
      </c>
      <c r="B52" s="12">
        <f>DATE(YEAR(G52),MONTH(G52),DAY(1))</f>
        <v>41883</v>
      </c>
      <c r="C52">
        <f>IF(E52&lt;&gt;E51,C51+1,C51)</f>
        <v>5</v>
      </c>
      <c r="D52" s="6" t="s">
        <v>300</v>
      </c>
      <c r="E52" s="6" t="s">
        <v>26</v>
      </c>
      <c r="F52" s="6" t="s">
        <v>346</v>
      </c>
      <c r="G52" s="1">
        <v>41901</v>
      </c>
      <c r="H52" s="1">
        <v>43727</v>
      </c>
      <c r="I52" s="7">
        <f>IF(H52-G52&gt;(365*5),1,0)</f>
        <v>1</v>
      </c>
      <c r="J52" s="6">
        <v>0</v>
      </c>
      <c r="K52" s="9" t="str">
        <f>IF($N52="USD",INDEX('Dólar Spot'!$C:$C,MATCH(Base!$G54,'Dólar Spot'!$A:$A,0)),"")</f>
        <v/>
      </c>
      <c r="L52" s="8">
        <v>1000000000</v>
      </c>
      <c r="M52" s="7">
        <f>IF(N52="USD",L52*K52/1000000,L52/1000000)</f>
        <v>1000</v>
      </c>
      <c r="N52" s="6" t="s">
        <v>348</v>
      </c>
      <c r="O52" s="9" t="str" cm="1">
        <f t="array" ref="O52">INDEX(Ratings!$B$2:$L$42,_xlfn.XMATCH(Base!E54,Ratings!$A$2:$A$42),_xlfn.XMATCH(YEAR(Base!G54),Ratings!$B$1:$L$1))</f>
        <v>NR</v>
      </c>
      <c r="P52">
        <f>IF(AND(O52&lt;&gt;"BBB-",O52&lt;&gt;"BBB",O52&lt;&gt;"BBB+"),0,1)</f>
        <v>0</v>
      </c>
      <c r="Q52" s="7">
        <f>INDEX('Bonds ANBIMA'!$F:$F,MATCH(Base!$B54,'Bonds ANBIMA'!$A:$A,0))</f>
        <v>0</v>
      </c>
      <c r="R52" s="21">
        <f>INDEX('Bonds ANBIMA'!$H:$H,MATCH(Base!$B54,'Bonds ANBIMA'!$A:$A,0))</f>
        <v>0.77777777777777779</v>
      </c>
      <c r="S52" s="7">
        <f>INDEX('Debêntures ANBIMA'!$O:$O,MATCH(Base!$B54,'Debêntures ANBIMA'!$A:$A,0))</f>
        <v>349.91726772413796</v>
      </c>
      <c r="T52" s="24">
        <f>INDEX('Debêntures ANBIMA'!$P:$P,MATCH(Base!$B54,'Debêntures ANBIMA'!$A:$A,0))</f>
        <v>0.63876540206182508</v>
      </c>
    </row>
    <row r="53" spans="1:20" x14ac:dyDescent="0.35">
      <c r="A53">
        <f>YEAR(B53)</f>
        <v>2015</v>
      </c>
      <c r="B53" s="12">
        <f>DATE(YEAR(G53),MONTH(G53),DAY(1))</f>
        <v>42064</v>
      </c>
      <c r="C53">
        <f>IF(E53&lt;&gt;E52,C52+1,C52)</f>
        <v>5</v>
      </c>
      <c r="D53" s="6" t="s">
        <v>300</v>
      </c>
      <c r="E53" s="6" t="s">
        <v>26</v>
      </c>
      <c r="F53" s="6" t="s">
        <v>346</v>
      </c>
      <c r="G53" s="1">
        <v>42093</v>
      </c>
      <c r="H53" s="1">
        <v>42916</v>
      </c>
      <c r="I53" s="7">
        <f>IF(H53-G53&gt;(365*5),1,0)</f>
        <v>0</v>
      </c>
      <c r="J53" s="6">
        <v>0</v>
      </c>
      <c r="K53" s="9" t="str">
        <f>IF($N53="USD",INDEX('Dólar Spot'!$C:$C,MATCH(Base!$G55,'Dólar Spot'!$A:$A,0)),"")</f>
        <v/>
      </c>
      <c r="L53" s="8">
        <v>200000000</v>
      </c>
      <c r="M53" s="7">
        <f>IF(N53="USD",L53*K53/1000000,L53/1000000)</f>
        <v>200</v>
      </c>
      <c r="N53" s="6" t="s">
        <v>348</v>
      </c>
      <c r="O53" s="9" t="str" cm="1">
        <f t="array" ref="O53">INDEX(Ratings!$B$2:$L$42,_xlfn.XMATCH(Base!E55,Ratings!$A$2:$A$42),_xlfn.XMATCH(YEAR(Base!G55),Ratings!$B$1:$L$1))</f>
        <v>NR</v>
      </c>
      <c r="P53">
        <f>IF(AND(O53&lt;&gt;"BBB-",O53&lt;&gt;"BBB",O53&lt;&gt;"BBB+"),0,1)</f>
        <v>0</v>
      </c>
      <c r="Q53" s="7">
        <f>INDEX('Bonds ANBIMA'!$F:$F,MATCH(Base!$B55,'Bonds ANBIMA'!$A:$A,0))</f>
        <v>1153.1683333333333</v>
      </c>
      <c r="R53" s="21">
        <f>INDEX('Bonds ANBIMA'!$H:$H,MATCH(Base!$B55,'Bonds ANBIMA'!$A:$A,0))</f>
        <v>0.88235294117647056</v>
      </c>
      <c r="S53" s="7">
        <f>INDEX('Debêntures ANBIMA'!$O:$O,MATCH(Base!$B55,'Debêntures ANBIMA'!$A:$A,0))</f>
        <v>220.95972972972973</v>
      </c>
      <c r="T53" s="24">
        <f>INDEX('Debêntures ANBIMA'!$P:$P,MATCH(Base!$B55,'Debêntures ANBIMA'!$A:$A,0))</f>
        <v>0.58100953466689709</v>
      </c>
    </row>
    <row r="54" spans="1:20" x14ac:dyDescent="0.35">
      <c r="A54">
        <f>YEAR(B54)</f>
        <v>2016</v>
      </c>
      <c r="B54" s="12">
        <f>DATE(YEAR(G54),MONTH(G54),DAY(1))</f>
        <v>42705</v>
      </c>
      <c r="C54">
        <f>IF(E54&lt;&gt;E53,C53+1,C53)</f>
        <v>5</v>
      </c>
      <c r="D54" s="6" t="s">
        <v>300</v>
      </c>
      <c r="E54" s="6" t="s">
        <v>26</v>
      </c>
      <c r="F54" s="6" t="s">
        <v>346</v>
      </c>
      <c r="G54" s="1">
        <v>42723</v>
      </c>
      <c r="H54" s="1">
        <v>43818</v>
      </c>
      <c r="I54" s="7">
        <f>IF(H54-G54&gt;(365*5),1,0)</f>
        <v>0</v>
      </c>
      <c r="J54" s="6">
        <v>0</v>
      </c>
      <c r="K54" s="9" t="str">
        <f>IF($N54="USD",INDEX('Dólar Spot'!$C:$C,MATCH(Base!$G56,'Dólar Spot'!$A:$A,0)),"")</f>
        <v/>
      </c>
      <c r="L54" s="8">
        <v>150000000</v>
      </c>
      <c r="M54" s="7">
        <f>IF(N54="USD",L54*K54/1000000,L54/1000000)</f>
        <v>150</v>
      </c>
      <c r="N54" s="6" t="s">
        <v>348</v>
      </c>
      <c r="O54" s="9" t="str" cm="1">
        <f t="array" ref="O54">INDEX(Ratings!$B$2:$L$42,_xlfn.XMATCH(Base!E56,Ratings!$A$2:$A$42),_xlfn.XMATCH(YEAR(Base!G56),Ratings!$B$1:$L$1))</f>
        <v>NR</v>
      </c>
      <c r="P54">
        <f>IF(AND(O54&lt;&gt;"BBB-",O54&lt;&gt;"BBB",O54&lt;&gt;"BBB+"),0,1)</f>
        <v>0</v>
      </c>
      <c r="Q54" s="7">
        <f>INDEX('Bonds ANBIMA'!$F:$F,MATCH(Base!$B56,'Bonds ANBIMA'!$A:$A,0))</f>
        <v>0</v>
      </c>
      <c r="R54" s="21">
        <f>INDEX('Bonds ANBIMA'!$H:$H,MATCH(Base!$B56,'Bonds ANBIMA'!$A:$A,0))</f>
        <v>0.72222222222222221</v>
      </c>
      <c r="S54" s="7">
        <f>INDEX('Debêntures ANBIMA'!$O:$O,MATCH(Base!$B56,'Debêntures ANBIMA'!$A:$A,0))</f>
        <v>320.93409090909091</v>
      </c>
      <c r="T54" s="24">
        <f>INDEX('Debêntures ANBIMA'!$P:$P,MATCH(Base!$B56,'Debêntures ANBIMA'!$A:$A,0))</f>
        <v>0.78028231454019203</v>
      </c>
    </row>
    <row r="55" spans="1:20" x14ac:dyDescent="0.35">
      <c r="A55">
        <f>YEAR(B55)</f>
        <v>2017</v>
      </c>
      <c r="B55" s="12">
        <f>DATE(YEAR(G55),MONTH(G55),DAY(1))</f>
        <v>42887</v>
      </c>
      <c r="C55">
        <f>IF(E55&lt;&gt;E54,C54+1,C54)</f>
        <v>5</v>
      </c>
      <c r="D55" s="6" t="s">
        <v>300</v>
      </c>
      <c r="E55" s="6" t="s">
        <v>26</v>
      </c>
      <c r="F55" s="6" t="s">
        <v>346</v>
      </c>
      <c r="G55" s="1">
        <v>42906</v>
      </c>
      <c r="H55" s="1">
        <v>43468</v>
      </c>
      <c r="I55" s="7">
        <f>IF(H55-G55&gt;(365*5),1,0)</f>
        <v>0</v>
      </c>
      <c r="J55" s="6">
        <v>0</v>
      </c>
      <c r="K55" s="9" t="str">
        <f>IF($N55="USD",INDEX('Dólar Spot'!$C:$C,MATCH(Base!$G57,'Dólar Spot'!$A:$A,0)),"")</f>
        <v/>
      </c>
      <c r="L55" s="8">
        <v>200000000</v>
      </c>
      <c r="M55" s="7">
        <f>IF(N55="USD",L55*K55/1000000,L55/1000000)</f>
        <v>200</v>
      </c>
      <c r="N55" s="6" t="s">
        <v>348</v>
      </c>
      <c r="O55" s="9" t="str" cm="1">
        <f t="array" ref="O55">INDEX(Ratings!$B$2:$L$42,_xlfn.XMATCH(Base!E57,Ratings!$A$2:$A$42),_xlfn.XMATCH(YEAR(Base!G57),Ratings!$B$1:$L$1))</f>
        <v>NR</v>
      </c>
      <c r="P55">
        <f>IF(AND(O55&lt;&gt;"BBB-",O55&lt;&gt;"BBB",O55&lt;&gt;"BBB+"),0,1)</f>
        <v>0</v>
      </c>
      <c r="Q55" s="7">
        <f>INDEX('Bonds ANBIMA'!$F:$F,MATCH(Base!$B57,'Bonds ANBIMA'!$A:$A,0))</f>
        <v>0</v>
      </c>
      <c r="R55" s="21">
        <f>INDEX('Bonds ANBIMA'!$H:$H,MATCH(Base!$B57,'Bonds ANBIMA'!$A:$A,0))</f>
        <v>0.77272727272727271</v>
      </c>
      <c r="S55" s="7">
        <f>INDEX('Debêntures ANBIMA'!$O:$O,MATCH(Base!$B57,'Debêntures ANBIMA'!$A:$A,0))</f>
        <v>269.61020408163267</v>
      </c>
      <c r="T55" s="24">
        <f>INDEX('Debêntures ANBIMA'!$P:$P,MATCH(Base!$B57,'Debêntures ANBIMA'!$A:$A,0))</f>
        <v>0.83474381293078714</v>
      </c>
    </row>
    <row r="56" spans="1:20" x14ac:dyDescent="0.35">
      <c r="A56">
        <f>YEAR(B56)</f>
        <v>2018</v>
      </c>
      <c r="B56" s="12">
        <f>DATE(YEAR(G56),MONTH(G56),DAY(1))</f>
        <v>43252</v>
      </c>
      <c r="C56">
        <f>IF(E56&lt;&gt;E55,C55+1,C55)</f>
        <v>5</v>
      </c>
      <c r="D56" s="6" t="s">
        <v>300</v>
      </c>
      <c r="E56" s="6" t="s">
        <v>26</v>
      </c>
      <c r="F56" s="6" t="s">
        <v>346</v>
      </c>
      <c r="G56" s="1">
        <v>43269</v>
      </c>
      <c r="H56" s="1">
        <v>46741</v>
      </c>
      <c r="I56" s="7">
        <f>IF(H56-G56&gt;(365*5),1,0)</f>
        <v>1</v>
      </c>
      <c r="J56" s="6">
        <v>1</v>
      </c>
      <c r="K56" s="9" t="str">
        <f>IF($N56="USD",INDEX('Dólar Spot'!$C:$C,MATCH(Base!$G58,'Dólar Spot'!$A:$A,0)),"")</f>
        <v/>
      </c>
      <c r="L56" s="8">
        <v>500000000</v>
      </c>
      <c r="M56" s="7">
        <f>IF(N56="USD",L56*K56/1000000,L56/1000000)</f>
        <v>500</v>
      </c>
      <c r="N56" s="6" t="s">
        <v>348</v>
      </c>
      <c r="O56" s="9" t="str" cm="1">
        <f t="array" ref="O56">INDEX(Ratings!$B$2:$L$42,_xlfn.XMATCH(Base!E58,Ratings!$A$2:$A$42),_xlfn.XMATCH(YEAR(Base!G58),Ratings!$B$1:$L$1))</f>
        <v>BB</v>
      </c>
      <c r="P56">
        <f>IF(AND(O56&lt;&gt;"BBB-",O56&lt;&gt;"BBB",O56&lt;&gt;"BBB+"),0,1)</f>
        <v>0</v>
      </c>
      <c r="Q56" s="7">
        <f>INDEX('Bonds ANBIMA'!$F:$F,MATCH(Base!$B58,'Bonds ANBIMA'!$A:$A,0))</f>
        <v>2347.4684999999999</v>
      </c>
      <c r="R56" s="21">
        <f>INDEX('Bonds ANBIMA'!$H:$H,MATCH(Base!$B58,'Bonds ANBIMA'!$A:$A,0))</f>
        <v>0.72727272727272729</v>
      </c>
      <c r="S56" s="7">
        <f>INDEX('Debêntures ANBIMA'!$O:$O,MATCH(Base!$B58,'Debêntures ANBIMA'!$A:$A,0))</f>
        <v>422.12423076923073</v>
      </c>
      <c r="T56" s="24">
        <f>INDEX('Debêntures ANBIMA'!$P:$P,MATCH(Base!$B58,'Debêntures ANBIMA'!$A:$A,0))</f>
        <v>0.74161267158767152</v>
      </c>
    </row>
    <row r="57" spans="1:20" x14ac:dyDescent="0.35">
      <c r="A57">
        <f>YEAR(B57)</f>
        <v>2018</v>
      </c>
      <c r="B57" s="12">
        <f>DATE(YEAR(G57),MONTH(G57),DAY(1))</f>
        <v>43435</v>
      </c>
      <c r="C57">
        <f>IF(E57&lt;&gt;E56,C56+1,C56)</f>
        <v>5</v>
      </c>
      <c r="D57" s="6" t="s">
        <v>300</v>
      </c>
      <c r="E57" s="6" t="s">
        <v>26</v>
      </c>
      <c r="F57" s="6" t="s">
        <v>346</v>
      </c>
      <c r="G57" s="1">
        <v>43454</v>
      </c>
      <c r="H57" s="1">
        <v>46741</v>
      </c>
      <c r="I57" s="7">
        <f>IF(H57-G57&gt;(365*5),1,0)</f>
        <v>1</v>
      </c>
      <c r="J57" s="6">
        <v>1</v>
      </c>
      <c r="K57" s="9" t="str">
        <f>IF($N57="USD",INDEX('Dólar Spot'!$C:$C,MATCH(Base!$G59,'Dólar Spot'!$A:$A,0)),"")</f>
        <v/>
      </c>
      <c r="L57" s="8">
        <v>200000000</v>
      </c>
      <c r="M57" s="7">
        <f>IF(N57="USD",L57*K57/1000000,L57/1000000)</f>
        <v>200</v>
      </c>
      <c r="N57" s="6" t="s">
        <v>348</v>
      </c>
      <c r="O57" s="9" t="str" cm="1">
        <f t="array" ref="O57">INDEX(Ratings!$B$2:$L$42,_xlfn.XMATCH(Base!E59,Ratings!$A$2:$A$42),_xlfn.XMATCH(YEAR(Base!G59),Ratings!$B$1:$L$1))</f>
        <v>BB+</v>
      </c>
      <c r="P57">
        <f>IF(AND(O57&lt;&gt;"BBB-",O57&lt;&gt;"BBB",O57&lt;&gt;"BBB+"),0,1)</f>
        <v>0</v>
      </c>
      <c r="Q57" s="7">
        <f>INDEX('Bonds ANBIMA'!$F:$F,MATCH(Base!$B59,'Bonds ANBIMA'!$A:$A,0))</f>
        <v>1387.9463871794871</v>
      </c>
      <c r="R57" s="21">
        <f>INDEX('Bonds ANBIMA'!$H:$H,MATCH(Base!$B59,'Bonds ANBIMA'!$A:$A,0))</f>
        <v>0.5862068965517242</v>
      </c>
      <c r="S57" s="7">
        <f>INDEX('Debêntures ANBIMA'!$O:$O,MATCH(Base!$B59,'Debêntures ANBIMA'!$A:$A,0))</f>
        <v>295.56919334588235</v>
      </c>
      <c r="T57" s="24">
        <f>INDEX('Debêntures ANBIMA'!$P:$P,MATCH(Base!$B59,'Debêntures ANBIMA'!$A:$A,0))</f>
        <v>0.57509687651902874</v>
      </c>
    </row>
    <row r="58" spans="1:20" x14ac:dyDescent="0.35">
      <c r="A58">
        <f>YEAR(B58)</f>
        <v>2020</v>
      </c>
      <c r="B58" s="12">
        <f>DATE(YEAR(G58),MONTH(G58),DAY(1))</f>
        <v>44136</v>
      </c>
      <c r="C58">
        <f>IF(E58&lt;&gt;E57,C57+1,C57)</f>
        <v>6</v>
      </c>
      <c r="D58" s="6" t="s">
        <v>21</v>
      </c>
      <c r="E58" s="6" t="s">
        <v>20</v>
      </c>
      <c r="F58" s="6" t="s">
        <v>233</v>
      </c>
      <c r="G58" s="1">
        <v>44159</v>
      </c>
      <c r="H58" s="1" t="s">
        <v>22</v>
      </c>
      <c r="I58" s="7">
        <f>IF(H58-G58&gt;(365*5),1,0)</f>
        <v>1</v>
      </c>
      <c r="J58" s="22">
        <v>1</v>
      </c>
      <c r="K58" s="9">
        <f>IF($N58="USD",INDEX('Dólar Spot'!$C:$C,MATCH(Base!$G14,'Dólar Spot'!$A:$A,0)),"")</f>
        <v>2.0596999999999999</v>
      </c>
      <c r="L58" s="8">
        <v>500000000</v>
      </c>
      <c r="M58" s="7">
        <f>IF(N58="USD",L58*K58/1000000,L58/1000000)</f>
        <v>1029.8499999999999</v>
      </c>
      <c r="N58" s="6" t="s">
        <v>16</v>
      </c>
      <c r="O58" s="9" t="str" cm="1">
        <f t="array" ref="O58">INDEX(Ratings!$B$2:$L$42,_xlfn.XMATCH(Base!E14,Ratings!$A$2:$A$42),_xlfn.XMATCH(YEAR(Base!G14),Ratings!$B$1:$L$1))</f>
        <v>NR</v>
      </c>
      <c r="P58">
        <f>IF(AND(O58&lt;&gt;"BBB-",O58&lt;&gt;"BBB",O58&lt;&gt;"BBB+"),0,1)</f>
        <v>0</v>
      </c>
      <c r="Q58" s="7">
        <f>INDEX('Bonds ANBIMA'!$F:$F,MATCH(Base!$B14,'Bonds ANBIMA'!$A:$A,0))</f>
        <v>1648.2683486486485</v>
      </c>
      <c r="R58" s="21">
        <f>INDEX('Bonds ANBIMA'!$H:$H,MATCH(Base!$B14,'Bonds ANBIMA'!$A:$A,0))</f>
        <v>0.81690140845070425</v>
      </c>
      <c r="S58" s="7">
        <f>INDEX('Debêntures ANBIMA'!$O:$O,MATCH(Base!$B14,'Debêntures ANBIMA'!$A:$A,0))</f>
        <v>205.0157142857143</v>
      </c>
      <c r="T58" s="24">
        <f>INDEX('Debêntures ANBIMA'!$P:$P,MATCH(Base!$B14,'Debêntures ANBIMA'!$A:$A,0))</f>
        <v>0.82833480426985795</v>
      </c>
    </row>
    <row r="59" spans="1:20" x14ac:dyDescent="0.35">
      <c r="A59">
        <f>YEAR(B59)</f>
        <v>2011</v>
      </c>
      <c r="B59" s="12">
        <f>DATE(YEAR(G59),MONTH(G59),DAY(1))</f>
        <v>40725</v>
      </c>
      <c r="C59">
        <f>IF(E59&lt;&gt;E58,C58+1,C58)</f>
        <v>7</v>
      </c>
      <c r="D59" s="6" t="s">
        <v>31</v>
      </c>
      <c r="E59" s="6" t="s">
        <v>30</v>
      </c>
      <c r="F59" s="6" t="s">
        <v>233</v>
      </c>
      <c r="G59" s="1">
        <v>40746</v>
      </c>
      <c r="H59" s="1" t="s">
        <v>32</v>
      </c>
      <c r="I59" s="7">
        <f>IF(H59-G59&gt;(365*5),1,0)</f>
        <v>1</v>
      </c>
      <c r="J59" s="22">
        <v>1</v>
      </c>
      <c r="K59" s="9">
        <f>IF($N59="USD",INDEX('Dólar Spot'!$C:$C,MATCH(Base!$G60,'Dólar Spot'!$A:$A,0)),"")</f>
        <v>2.0406</v>
      </c>
      <c r="L59" s="8">
        <v>500000000</v>
      </c>
      <c r="M59" s="7">
        <f>IF(N59="USD",L59*K59/1000000,L59/1000000)</f>
        <v>1020.3</v>
      </c>
      <c r="N59" s="6" t="s">
        <v>16</v>
      </c>
      <c r="O59" s="9" t="str" cm="1">
        <f t="array" ref="O59">INDEX(Ratings!$B$2:$L$42,_xlfn.XMATCH(Base!E60,Ratings!$A$2:$A$42),_xlfn.XMATCH(YEAR(Base!G60),Ratings!$B$1:$L$1))</f>
        <v>BBB-</v>
      </c>
      <c r="P59">
        <f>IF(AND(O59&lt;&gt;"BBB-",O59&lt;&gt;"BBB",O59&lt;&gt;"BBB+"),0,1)</f>
        <v>1</v>
      </c>
      <c r="Q59" s="7">
        <f>INDEX('Bonds ANBIMA'!$F:$F,MATCH(Base!$B60,'Bonds ANBIMA'!$A:$A,0))</f>
        <v>1631.597148648649</v>
      </c>
      <c r="R59" s="21">
        <f>INDEX('Bonds ANBIMA'!$H:$H,MATCH(Base!$B60,'Bonds ANBIMA'!$A:$A,0))</f>
        <v>0.81690140845070425</v>
      </c>
      <c r="S59" s="7">
        <f>INDEX('Debêntures ANBIMA'!$O:$O,MATCH(Base!$B60,'Debêntures ANBIMA'!$A:$A,0))</f>
        <v>508.70833333333331</v>
      </c>
      <c r="T59" s="24">
        <f>INDEX('Debêntures ANBIMA'!$P:$P,MATCH(Base!$B60,'Debêntures ANBIMA'!$A:$A,0))</f>
        <v>0.81980506183962654</v>
      </c>
    </row>
    <row r="60" spans="1:20" x14ac:dyDescent="0.35">
      <c r="A60">
        <f>YEAR(B60)</f>
        <v>2012</v>
      </c>
      <c r="B60" s="12">
        <f>DATE(YEAR(G60),MONTH(G60),DAY(1))</f>
        <v>41091</v>
      </c>
      <c r="C60">
        <f>IF(E60&lt;&gt;E59,C59+1,C59)</f>
        <v>7</v>
      </c>
      <c r="D60" s="6" t="s">
        <v>31</v>
      </c>
      <c r="E60" s="6" t="s">
        <v>30</v>
      </c>
      <c r="F60" s="6" t="s">
        <v>233</v>
      </c>
      <c r="G60" s="1">
        <v>41113</v>
      </c>
      <c r="H60" s="1" t="s">
        <v>32</v>
      </c>
      <c r="I60" s="7">
        <f>IF(H60-G60&gt;(365*5),1,0)</f>
        <v>1</v>
      </c>
      <c r="J60" s="22">
        <v>1</v>
      </c>
      <c r="K60" s="9">
        <f>IF($N60="USD",INDEX('Dólar Spot'!$C:$C,MATCH(Base!$G61,'Dólar Spot'!$A:$A,0)),"")</f>
        <v>2.4083999999999999</v>
      </c>
      <c r="L60" s="8">
        <v>250000000</v>
      </c>
      <c r="M60" s="7">
        <f>IF(N60="USD",L60*K60/1000000,L60/1000000)</f>
        <v>602.1</v>
      </c>
      <c r="N60" s="6" t="s">
        <v>16</v>
      </c>
      <c r="O60" s="9" t="str" cm="1">
        <f t="array" ref="O60">INDEX(Ratings!$B$2:$L$42,_xlfn.XMATCH(Base!E61,Ratings!$A$2:$A$42),_xlfn.XMATCH(YEAR(Base!G61),Ratings!$B$1:$L$1))</f>
        <v>BBB-</v>
      </c>
      <c r="P60">
        <f>IF(AND(O60&lt;&gt;"BBB-",O60&lt;&gt;"BBB",O60&lt;&gt;"BBB+"),0,1)</f>
        <v>1</v>
      </c>
      <c r="Q60" s="7">
        <f>INDEX('Bonds ANBIMA'!$F:$F,MATCH(Base!$B61,'Bonds ANBIMA'!$A:$A,0))</f>
        <v>2081.8212996774196</v>
      </c>
      <c r="R60" s="21">
        <f>INDEX('Bonds ANBIMA'!$H:$H,MATCH(Base!$B61,'Bonds ANBIMA'!$A:$A,0))</f>
        <v>0.7592592592592593</v>
      </c>
      <c r="S60" s="7">
        <f>INDEX('Debêntures ANBIMA'!$O:$O,MATCH(Base!$B61,'Debêntures ANBIMA'!$A:$A,0))</f>
        <v>185.36068965517242</v>
      </c>
      <c r="T60" s="24">
        <f>INDEX('Debêntures ANBIMA'!$P:$P,MATCH(Base!$B61,'Debêntures ANBIMA'!$A:$A,0))</f>
        <v>0.47168709151825478</v>
      </c>
    </row>
    <row r="61" spans="1:20" x14ac:dyDescent="0.35">
      <c r="A61">
        <f>YEAR(B61)</f>
        <v>2014</v>
      </c>
      <c r="B61" s="12">
        <f>DATE(YEAR(G61),MONTH(G61),DAY(1))</f>
        <v>41671</v>
      </c>
      <c r="C61">
        <f>IF(E61&lt;&gt;E60,C60+1,C60)</f>
        <v>7</v>
      </c>
      <c r="D61" s="6" t="s">
        <v>33</v>
      </c>
      <c r="E61" s="6" t="s">
        <v>30</v>
      </c>
      <c r="F61" s="6" t="s">
        <v>233</v>
      </c>
      <c r="G61" s="1">
        <v>41673</v>
      </c>
      <c r="H61" s="1" t="s">
        <v>34</v>
      </c>
      <c r="I61" s="7">
        <f>IF(H61-G61&gt;(365*5),1,0)</f>
        <v>1</v>
      </c>
      <c r="J61" s="22">
        <v>1</v>
      </c>
      <c r="K61" s="9">
        <f>IF($N61="USD",INDEX('Dólar Spot'!$C:$C,MATCH(Base!$G62,'Dólar Spot'!$A:$A,0)),"")</f>
        <v>1.9142999999999999</v>
      </c>
      <c r="L61" s="8">
        <v>500000000</v>
      </c>
      <c r="M61" s="7">
        <f>IF(N61="USD",L61*K61/1000000,L61/1000000)</f>
        <v>957.15</v>
      </c>
      <c r="N61" s="6" t="s">
        <v>16</v>
      </c>
      <c r="O61" s="9" t="str" cm="1">
        <f t="array" ref="O61">INDEX(Ratings!$B$2:$L$42,_xlfn.XMATCH(Base!E62,Ratings!$A$2:$A$42),_xlfn.XMATCH(YEAR(Base!G62),Ratings!$B$1:$L$1))</f>
        <v>BBB-</v>
      </c>
      <c r="P61">
        <f>IF(AND(O61&lt;&gt;"BBB-",O61&lt;&gt;"BBB",O61&lt;&gt;"BBB+"),0,1)</f>
        <v>1</v>
      </c>
      <c r="Q61" s="7">
        <f>INDEX('Bonds ANBIMA'!$F:$F,MATCH(Base!$B62,'Bonds ANBIMA'!$A:$A,0))</f>
        <v>1597.4311363636366</v>
      </c>
      <c r="R61" s="21">
        <f>INDEX('Bonds ANBIMA'!$H:$H,MATCH(Base!$B62,'Bonds ANBIMA'!$A:$A,0))</f>
        <v>0.81690140845070425</v>
      </c>
      <c r="S61" s="7">
        <f>INDEX('Debêntures ANBIMA'!$O:$O,MATCH(Base!$B62,'Debêntures ANBIMA'!$A:$A,0))</f>
        <v>265.32631578947365</v>
      </c>
      <c r="T61" s="24">
        <f>INDEX('Debêntures ANBIMA'!$P:$P,MATCH(Base!$B62,'Debêntures ANBIMA'!$A:$A,0))</f>
        <v>0.33369039117670396</v>
      </c>
    </row>
    <row r="62" spans="1:20" x14ac:dyDescent="0.35">
      <c r="A62">
        <f>YEAR(B62)</f>
        <v>2012</v>
      </c>
      <c r="B62" s="12">
        <f>DATE(YEAR(G62),MONTH(G62),DAY(1))</f>
        <v>41030</v>
      </c>
      <c r="C62">
        <f>IF(E62&lt;&gt;E61,C61+1,C61)</f>
        <v>7</v>
      </c>
      <c r="D62" s="6" t="s">
        <v>33</v>
      </c>
      <c r="E62" s="6" t="s">
        <v>30</v>
      </c>
      <c r="F62" s="6" t="s">
        <v>233</v>
      </c>
      <c r="G62" s="1">
        <v>41031</v>
      </c>
      <c r="H62" s="1" t="s">
        <v>35</v>
      </c>
      <c r="I62" s="7">
        <f>IF(H62-G62&gt;(365*5),1,0)</f>
        <v>1</v>
      </c>
      <c r="J62" s="22">
        <v>1</v>
      </c>
      <c r="K62" s="9">
        <f>IF($N62="USD",INDEX('Dólar Spot'!$C:$C,MATCH(Base!$G63,'Dólar Spot'!$A:$A,0)),"")</f>
        <v>1.5768</v>
      </c>
      <c r="L62" s="8">
        <v>500000000</v>
      </c>
      <c r="M62" s="7">
        <f>IF(N62="USD",L62*K62/1000000,L62/1000000)</f>
        <v>788.4</v>
      </c>
      <c r="N62" s="6" t="s">
        <v>16</v>
      </c>
      <c r="O62" s="9" t="str" cm="1">
        <f t="array" ref="O62">INDEX(Ratings!$B$2:$L$42,_xlfn.XMATCH(Base!E63,Ratings!$A$2:$A$42),_xlfn.XMATCH(YEAR(Base!G63),Ratings!$B$1:$L$1))</f>
        <v>BB+</v>
      </c>
      <c r="P62">
        <f>IF(AND(O62&lt;&gt;"BBB-",O62&lt;&gt;"BBB",O62&lt;&gt;"BBB+"),0,1)</f>
        <v>0</v>
      </c>
      <c r="Q62" s="7">
        <f>INDEX('Bonds ANBIMA'!$F:$F,MATCH(Base!$B63,'Bonds ANBIMA'!$A:$A,0))</f>
        <v>1407.9328902834009</v>
      </c>
      <c r="R62" s="21">
        <f>INDEX('Bonds ANBIMA'!$H:$H,MATCH(Base!$B63,'Bonds ANBIMA'!$A:$A,0))</f>
        <v>0.5862068965517242</v>
      </c>
      <c r="S62" s="7">
        <f>INDEX('Debêntures ANBIMA'!$O:$O,MATCH(Base!$B63,'Debêntures ANBIMA'!$A:$A,0))</f>
        <v>305.92307692307691</v>
      </c>
      <c r="T62" s="24">
        <f>INDEX('Debêntures ANBIMA'!$P:$P,MATCH(Base!$B63,'Debêntures ANBIMA'!$A:$A,0))</f>
        <v>0.94971083731455874</v>
      </c>
    </row>
    <row r="63" spans="1:20" x14ac:dyDescent="0.35">
      <c r="A63">
        <f>YEAR(B63)</f>
        <v>2011</v>
      </c>
      <c r="B63" s="12">
        <f>DATE(YEAR(G63),MONTH(G63),DAY(1))</f>
        <v>40634</v>
      </c>
      <c r="C63">
        <f>IF(E63&lt;&gt;E62,C62+1,C62)</f>
        <v>7</v>
      </c>
      <c r="D63" s="6" t="s">
        <v>33</v>
      </c>
      <c r="E63" s="6" t="s">
        <v>30</v>
      </c>
      <c r="F63" s="6" t="s">
        <v>233</v>
      </c>
      <c r="G63" s="1">
        <v>40648</v>
      </c>
      <c r="H63" s="1" t="s">
        <v>36</v>
      </c>
      <c r="I63" s="7">
        <f>IF(H63-G63&gt;(365*5),1,0)</f>
        <v>1</v>
      </c>
      <c r="J63" s="22">
        <v>1</v>
      </c>
      <c r="K63" s="9">
        <f>IF($N63="USD",INDEX('Dólar Spot'!$C:$C,MATCH(Base!$G64,'Dólar Spot'!$A:$A,0)),"")</f>
        <v>1.732</v>
      </c>
      <c r="L63" s="8">
        <v>750000000</v>
      </c>
      <c r="M63" s="7">
        <f>IF(N63="USD",L63*K63/1000000,L63/1000000)</f>
        <v>1299</v>
      </c>
      <c r="N63" s="6" t="s">
        <v>16</v>
      </c>
      <c r="O63" s="9" t="str" cm="1">
        <f t="array" ref="O63">INDEX(Ratings!$B$2:$L$42,_xlfn.XMATCH(Base!E64,Ratings!$A$2:$A$42),_xlfn.XMATCH(YEAR(Base!G64),Ratings!$B$1:$L$1))</f>
        <v>BBB-</v>
      </c>
      <c r="P63">
        <f>IF(AND(O63&lt;&gt;"BBB-",O63&lt;&gt;"BBB",O63&lt;&gt;"BBB+"),0,1)</f>
        <v>1</v>
      </c>
      <c r="Q63" s="7">
        <f>INDEX('Bonds ANBIMA'!$F:$F,MATCH(Base!$B64,'Bonds ANBIMA'!$A:$A,0))</f>
        <v>1382.0987169274538</v>
      </c>
      <c r="R63" s="21">
        <f>INDEX('Bonds ANBIMA'!$H:$H,MATCH(Base!$B64,'Bonds ANBIMA'!$A:$A,0))</f>
        <v>0.81690140845070425</v>
      </c>
      <c r="S63" s="7">
        <f>INDEX('Debêntures ANBIMA'!$O:$O,MATCH(Base!$B64,'Debêntures ANBIMA'!$A:$A,0))</f>
        <v>216.71153846153845</v>
      </c>
      <c r="T63" s="24">
        <f>INDEX('Debêntures ANBIMA'!$P:$P,MATCH(Base!$B64,'Debêntures ANBIMA'!$A:$A,0))</f>
        <v>0.91569793238086783</v>
      </c>
    </row>
    <row r="64" spans="1:20" x14ac:dyDescent="0.35">
      <c r="A64">
        <f>YEAR(B64)</f>
        <v>2012</v>
      </c>
      <c r="B64" s="12">
        <f>DATE(YEAR(G64),MONTH(G64),DAY(1))</f>
        <v>40940</v>
      </c>
      <c r="C64">
        <f>IF(E64&lt;&gt;E63,C63+1,C63)</f>
        <v>7</v>
      </c>
      <c r="D64" s="6" t="s">
        <v>33</v>
      </c>
      <c r="E64" s="6" t="s">
        <v>30</v>
      </c>
      <c r="F64" s="6" t="s">
        <v>233</v>
      </c>
      <c r="G64" s="1">
        <v>40941</v>
      </c>
      <c r="H64" s="1" t="s">
        <v>36</v>
      </c>
      <c r="I64" s="7">
        <f>IF(H64-G64&gt;(365*5),1,0)</f>
        <v>1</v>
      </c>
      <c r="J64" s="22">
        <v>1</v>
      </c>
      <c r="K64" s="9">
        <f>IF($N64="USD",INDEX('Dólar Spot'!$C:$C,MATCH(Base!$G65,'Dólar Spot'!$A:$A,0)),"")</f>
        <v>3.9780000000000002</v>
      </c>
      <c r="L64" s="8">
        <v>250000000</v>
      </c>
      <c r="M64" s="7">
        <f>IF(N64="USD",L64*K64/1000000,L64/1000000)</f>
        <v>994.5</v>
      </c>
      <c r="N64" s="6" t="s">
        <v>16</v>
      </c>
      <c r="O64" s="9" t="str" cm="1">
        <f t="array" ref="O64">INDEX(Ratings!$B$2:$L$42,_xlfn.XMATCH(Base!E65,Ratings!$A$2:$A$42),_xlfn.XMATCH(YEAR(Base!G65),Ratings!$B$1:$L$1))</f>
        <v>BBB-</v>
      </c>
      <c r="P64">
        <f>IF(AND(O64&lt;&gt;"BBB-",O64&lt;&gt;"BBB",O64&lt;&gt;"BBB+"),0,1)</f>
        <v>1</v>
      </c>
      <c r="Q64" s="7">
        <f>INDEX('Bonds ANBIMA'!$F:$F,MATCH(Base!$B65,'Bonds ANBIMA'!$A:$A,0))</f>
        <v>7893.9774999999981</v>
      </c>
      <c r="R64" s="21">
        <f>INDEX('Bonds ANBIMA'!$H:$H,MATCH(Base!$B65,'Bonds ANBIMA'!$A:$A,0))</f>
        <v>0.83870967741935487</v>
      </c>
      <c r="S64" s="7">
        <f>INDEX('Debêntures ANBIMA'!$O:$O,MATCH(Base!$B65,'Debêntures ANBIMA'!$A:$A,0))</f>
        <v>292.23871243636364</v>
      </c>
      <c r="T64" s="24">
        <f>INDEX('Debêntures ANBIMA'!$P:$P,MATCH(Base!$B65,'Debêntures ANBIMA'!$A:$A,0))</f>
        <v>0.87974551685015945</v>
      </c>
    </row>
    <row r="65" spans="1:20" x14ac:dyDescent="0.35">
      <c r="A65">
        <f>YEAR(B65)</f>
        <v>2019</v>
      </c>
      <c r="B65" s="12">
        <f>DATE(YEAR(G65),MONTH(G65),DAY(1))</f>
        <v>43770</v>
      </c>
      <c r="C65">
        <f>IF(E65&lt;&gt;E64,C64+1,C64)</f>
        <v>7</v>
      </c>
      <c r="D65" s="6" t="s">
        <v>37</v>
      </c>
      <c r="E65" s="6" t="s">
        <v>30</v>
      </c>
      <c r="F65" s="6" t="s">
        <v>233</v>
      </c>
      <c r="G65" s="1">
        <v>43770</v>
      </c>
      <c r="H65" s="1" t="s">
        <v>38</v>
      </c>
      <c r="I65" s="7">
        <f>IF(H65-G65&gt;(365*5),1,0)</f>
        <v>1</v>
      </c>
      <c r="J65" s="22">
        <v>1</v>
      </c>
      <c r="K65" s="9">
        <f>IF($N65="USD",INDEX('Dólar Spot'!$C:$C,MATCH(Base!$G66,'Dólar Spot'!$A:$A,0)),"")</f>
        <v>3.1682000000000001</v>
      </c>
      <c r="L65" s="8">
        <v>1500000000</v>
      </c>
      <c r="M65" s="7">
        <f>IF(N65="USD",L65*K65/1000000,L65/1000000)</f>
        <v>4752.3</v>
      </c>
      <c r="N65" s="6" t="s">
        <v>16</v>
      </c>
      <c r="O65" s="9" t="str" cm="1">
        <f t="array" ref="O65">INDEX(Ratings!$B$2:$L$42,_xlfn.XMATCH(Base!E66,Ratings!$A$2:$A$42),_xlfn.XMATCH(YEAR(Base!G66),Ratings!$B$1:$L$1))</f>
        <v>BBB-</v>
      </c>
      <c r="P65">
        <f>IF(AND(O65&lt;&gt;"BBB-",O65&lt;&gt;"BBB",O65&lt;&gt;"BBB+"),0,1)</f>
        <v>1</v>
      </c>
      <c r="Q65" s="7">
        <f>INDEX('Bonds ANBIMA'!$F:$F,MATCH(Base!$B66,'Bonds ANBIMA'!$A:$A,0))</f>
        <v>3031.1061904761905</v>
      </c>
      <c r="R65" s="21">
        <f>INDEX('Bonds ANBIMA'!$H:$H,MATCH(Base!$B66,'Bonds ANBIMA'!$A:$A,0))</f>
        <v>0.9</v>
      </c>
      <c r="S65" s="7">
        <f>INDEX('Debêntures ANBIMA'!$O:$O,MATCH(Base!$B66,'Debêntures ANBIMA'!$A:$A,0))</f>
        <v>357.79854054054056</v>
      </c>
      <c r="T65" s="24">
        <f>INDEX('Debêntures ANBIMA'!$P:$P,MATCH(Base!$B66,'Debêntures ANBIMA'!$A:$A,0))</f>
        <v>0.81983307170430497</v>
      </c>
    </row>
    <row r="66" spans="1:20" x14ac:dyDescent="0.35">
      <c r="A66">
        <f>YEAR(B66)</f>
        <v>2017</v>
      </c>
      <c r="B66" s="12">
        <f>DATE(YEAR(G66),MONTH(G66),DAY(1))</f>
        <v>43009</v>
      </c>
      <c r="C66">
        <f>IF(E66&lt;&gt;E65,C65+1,C65)</f>
        <v>7</v>
      </c>
      <c r="D66" s="6" t="s">
        <v>37</v>
      </c>
      <c r="E66" s="6" t="s">
        <v>30</v>
      </c>
      <c r="F66" s="6" t="s">
        <v>233</v>
      </c>
      <c r="G66" s="1">
        <v>43018</v>
      </c>
      <c r="H66" s="1" t="s">
        <v>39</v>
      </c>
      <c r="I66" s="7">
        <f>IF(H66-G66&gt;(365*5),1,0)</f>
        <v>1</v>
      </c>
      <c r="J66" s="22">
        <v>1</v>
      </c>
      <c r="K66" s="9">
        <f>IF($N66="USD",INDEX('Dólar Spot'!$C:$C,MATCH(Base!$G67,'Dólar Spot'!$A:$A,0)),"")</f>
        <v>3.9780000000000002</v>
      </c>
      <c r="L66" s="8">
        <v>1250000000</v>
      </c>
      <c r="M66" s="7">
        <f>IF(N66="USD",L66*K66/1000000,L66/1000000)</f>
        <v>4972.5</v>
      </c>
      <c r="N66" s="6" t="s">
        <v>16</v>
      </c>
      <c r="O66" s="9" t="str" cm="1">
        <f t="array" ref="O66">INDEX(Ratings!$B$2:$L$42,_xlfn.XMATCH(Base!E67,Ratings!$A$2:$A$42),_xlfn.XMATCH(YEAR(Base!G67),Ratings!$B$1:$L$1))</f>
        <v>BBB-</v>
      </c>
      <c r="P66">
        <f>IF(AND(O66&lt;&gt;"BBB-",O66&lt;&gt;"BBB",O66&lt;&gt;"BBB+"),0,1)</f>
        <v>1</v>
      </c>
      <c r="Q66" s="7">
        <f>INDEX('Bonds ANBIMA'!$F:$F,MATCH(Base!$B67,'Bonds ANBIMA'!$A:$A,0))</f>
        <v>7893.9774999999981</v>
      </c>
      <c r="R66" s="21">
        <f>INDEX('Bonds ANBIMA'!$H:$H,MATCH(Base!$B67,'Bonds ANBIMA'!$A:$A,0))</f>
        <v>0.83870967741935487</v>
      </c>
      <c r="S66" s="7">
        <f>INDEX('Debêntures ANBIMA'!$O:$O,MATCH(Base!$B67,'Debêntures ANBIMA'!$A:$A,0))</f>
        <v>292.23871243636364</v>
      </c>
      <c r="T66" s="24">
        <f>INDEX('Debêntures ANBIMA'!$P:$P,MATCH(Base!$B67,'Debêntures ANBIMA'!$A:$A,0))</f>
        <v>0.87974551685015945</v>
      </c>
    </row>
    <row r="67" spans="1:20" x14ac:dyDescent="0.35">
      <c r="A67">
        <f>YEAR(B67)</f>
        <v>2019</v>
      </c>
      <c r="B67" s="12">
        <f>DATE(YEAR(G67),MONTH(G67),DAY(1))</f>
        <v>43770</v>
      </c>
      <c r="C67">
        <f>IF(E67&lt;&gt;E66,C66+1,C66)</f>
        <v>7</v>
      </c>
      <c r="D67" s="6" t="s">
        <v>37</v>
      </c>
      <c r="E67" s="6" t="s">
        <v>30</v>
      </c>
      <c r="F67" s="6" t="s">
        <v>233</v>
      </c>
      <c r="G67" s="1">
        <v>43770</v>
      </c>
      <c r="H67" s="1" t="s">
        <v>40</v>
      </c>
      <c r="I67" s="7">
        <f>IF(H67-G67&gt;(365*5),1,0)</f>
        <v>1</v>
      </c>
      <c r="J67" s="22">
        <v>1</v>
      </c>
      <c r="K67" s="9">
        <f>IF($N67="USD",INDEX('Dólar Spot'!$C:$C,MATCH(Base!$G68,'Dólar Spot'!$A:$A,0)),"")</f>
        <v>5.1641000000000004</v>
      </c>
      <c r="L67" s="8">
        <v>750000000</v>
      </c>
      <c r="M67" s="7">
        <f>IF(N67="USD",L67*K67/1000000,L67/1000000)</f>
        <v>3873.0750000000003</v>
      </c>
      <c r="N67" s="6" t="s">
        <v>16</v>
      </c>
      <c r="O67" s="9" t="str" cm="1">
        <f t="array" ref="O67">INDEX(Ratings!$B$2:$L$42,_xlfn.XMATCH(Base!E68,Ratings!$A$2:$A$42),_xlfn.XMATCH(YEAR(Base!G68),Ratings!$B$1:$L$1))</f>
        <v>BB+</v>
      </c>
      <c r="P67">
        <f>IF(AND(O67&lt;&gt;"BBB-",O67&lt;&gt;"BBB",O67&lt;&gt;"BBB+"),0,1)</f>
        <v>0</v>
      </c>
      <c r="Q67" s="7">
        <f>INDEX('Bonds ANBIMA'!$F:$F,MATCH(Base!$B68,'Bonds ANBIMA'!$A:$A,0))</f>
        <v>2820.1840108695651</v>
      </c>
      <c r="R67" s="21">
        <f>INDEX('Bonds ANBIMA'!$H:$H,MATCH(Base!$B68,'Bonds ANBIMA'!$A:$A,0))</f>
        <v>0.70833333333333326</v>
      </c>
      <c r="S67" s="7">
        <f>INDEX('Debêntures ANBIMA'!$O:$O,MATCH(Base!$B68,'Debêntures ANBIMA'!$A:$A,0))</f>
        <v>302.30131578947368</v>
      </c>
      <c r="T67" s="24">
        <f>INDEX('Debêntures ANBIMA'!$P:$P,MATCH(Base!$B68,'Debêntures ANBIMA'!$A:$A,0))</f>
        <v>0.46990765793883493</v>
      </c>
    </row>
    <row r="68" spans="1:20" x14ac:dyDescent="0.35">
      <c r="A68">
        <f>YEAR(B68)</f>
        <v>2020</v>
      </c>
      <c r="B68" s="12">
        <f>DATE(YEAR(G68),MONTH(G68),DAY(1))</f>
        <v>44013</v>
      </c>
      <c r="C68">
        <f>IF(E68&lt;&gt;E67,C67+1,C67)</f>
        <v>7</v>
      </c>
      <c r="D68" s="6" t="s">
        <v>37</v>
      </c>
      <c r="E68" s="6" t="s">
        <v>30</v>
      </c>
      <c r="F68" s="6" t="s">
        <v>233</v>
      </c>
      <c r="G68" s="1">
        <v>44035</v>
      </c>
      <c r="H68" s="1" t="s">
        <v>41</v>
      </c>
      <c r="I68" s="7">
        <f>IF(H68-G68&gt;(365*5),1,0)</f>
        <v>1</v>
      </c>
      <c r="J68" s="22">
        <v>1</v>
      </c>
      <c r="K68" s="9">
        <f>IF($N68="USD",INDEX('Dólar Spot'!$C:$C,MATCH(Base!$G69,'Dólar Spot'!$A:$A,0)),"")</f>
        <v>3.1682000000000001</v>
      </c>
      <c r="L68" s="8">
        <v>600000000</v>
      </c>
      <c r="M68" s="7">
        <f>IF(N68="USD",L68*K68/1000000,L68/1000000)</f>
        <v>1900.92</v>
      </c>
      <c r="N68" s="6" t="s">
        <v>16</v>
      </c>
      <c r="O68" s="9" t="str" cm="1">
        <f t="array" ref="O68">INDEX(Ratings!$B$2:$L$42,_xlfn.XMATCH(Base!E69,Ratings!$A$2:$A$42),_xlfn.XMATCH(YEAR(Base!G69),Ratings!$B$1:$L$1))</f>
        <v>BBB-</v>
      </c>
      <c r="P68">
        <f>IF(AND(O68&lt;&gt;"BBB-",O68&lt;&gt;"BBB",O68&lt;&gt;"BBB+"),0,1)</f>
        <v>1</v>
      </c>
      <c r="Q68" s="7">
        <f>INDEX('Bonds ANBIMA'!$F:$F,MATCH(Base!$B69,'Bonds ANBIMA'!$A:$A,0))</f>
        <v>3031.1061904761905</v>
      </c>
      <c r="R68" s="21">
        <f>INDEX('Bonds ANBIMA'!$H:$H,MATCH(Base!$B69,'Bonds ANBIMA'!$A:$A,0))</f>
        <v>0.9</v>
      </c>
      <c r="S68" s="7">
        <f>INDEX('Debêntures ANBIMA'!$O:$O,MATCH(Base!$B69,'Debêntures ANBIMA'!$A:$A,0))</f>
        <v>357.79854054054056</v>
      </c>
      <c r="T68" s="24">
        <f>INDEX('Debêntures ANBIMA'!$P:$P,MATCH(Base!$B69,'Debêntures ANBIMA'!$A:$A,0))</f>
        <v>0.81983307170430497</v>
      </c>
    </row>
    <row r="69" spans="1:20" x14ac:dyDescent="0.35">
      <c r="A69">
        <f>YEAR(B69)</f>
        <v>2017</v>
      </c>
      <c r="B69" s="12">
        <f>DATE(YEAR(G69),MONTH(G69),DAY(1))</f>
        <v>43009</v>
      </c>
      <c r="C69">
        <f>IF(E69&lt;&gt;E68,C68+1,C68)</f>
        <v>7</v>
      </c>
      <c r="D69" s="6" t="s">
        <v>37</v>
      </c>
      <c r="E69" s="6" t="s">
        <v>30</v>
      </c>
      <c r="F69" s="6" t="s">
        <v>233</v>
      </c>
      <c r="G69" s="1">
        <v>43018</v>
      </c>
      <c r="H69" s="1" t="s">
        <v>42</v>
      </c>
      <c r="I69" s="7">
        <f>IF(H69-G69&gt;(365*5),1,0)</f>
        <v>1</v>
      </c>
      <c r="J69" s="22">
        <v>1</v>
      </c>
      <c r="K69" s="9">
        <f>IF($N69="USD",INDEX('Dólar Spot'!$C:$C,MATCH(Base!$G70,'Dólar Spot'!$A:$A,0)),"")</f>
        <v>3.2229000000000001</v>
      </c>
      <c r="L69" s="8">
        <v>500000000</v>
      </c>
      <c r="M69" s="7">
        <f>IF(N69="USD",L69*K69/1000000,L69/1000000)</f>
        <v>1611.45</v>
      </c>
      <c r="N69" s="6" t="s">
        <v>16</v>
      </c>
      <c r="O69" s="9" t="str" cm="1">
        <f t="array" ref="O69">INDEX(Ratings!$B$2:$L$42,_xlfn.XMATCH(Base!E70,Ratings!$A$2:$A$42),_xlfn.XMATCH(YEAR(Base!G70),Ratings!$B$1:$L$1))</f>
        <v>BBB</v>
      </c>
      <c r="P69">
        <f>IF(AND(O69&lt;&gt;"BBB-",O69&lt;&gt;"BBB",O69&lt;&gt;"BBB+"),0,1)</f>
        <v>1</v>
      </c>
      <c r="Q69" s="7">
        <f>INDEX('Bonds ANBIMA'!$F:$F,MATCH(Base!$B70,'Bonds ANBIMA'!$A:$A,0))</f>
        <v>2441.8285714285716</v>
      </c>
      <c r="R69" s="21">
        <f>INDEX('Bonds ANBIMA'!$H:$H,MATCH(Base!$B70,'Bonds ANBIMA'!$A:$A,0))</f>
        <v>0.75</v>
      </c>
      <c r="S69" s="7">
        <f>INDEX('Debêntures ANBIMA'!$O:$O,MATCH(Base!$B70,'Debêntures ANBIMA'!$A:$A,0))</f>
        <v>73.092857142857142</v>
      </c>
      <c r="T69" s="24">
        <f>INDEX('Debêntures ANBIMA'!$P:$P,MATCH(Base!$B70,'Debêntures ANBIMA'!$A:$A,0))</f>
        <v>0.37721098407114234</v>
      </c>
    </row>
    <row r="70" spans="1:20" x14ac:dyDescent="0.35">
      <c r="A70">
        <f>YEAR(B70)</f>
        <v>2016</v>
      </c>
      <c r="B70" s="12">
        <f>DATE(YEAR(G70),MONTH(G70),DAY(1))</f>
        <v>42614</v>
      </c>
      <c r="C70">
        <f>IF(E70&lt;&gt;E69,C69+1,C69)</f>
        <v>8</v>
      </c>
      <c r="D70" s="6" t="s">
        <v>44</v>
      </c>
      <c r="E70" s="6" t="s">
        <v>43</v>
      </c>
      <c r="F70" s="6" t="s">
        <v>233</v>
      </c>
      <c r="G70" s="1">
        <v>42642</v>
      </c>
      <c r="H70" s="1" t="s">
        <v>45</v>
      </c>
      <c r="I70" s="7">
        <f>IF(H70-G70&gt;(365*5),1,0)</f>
        <v>1</v>
      </c>
      <c r="J70" s="22">
        <v>1</v>
      </c>
      <c r="K70" s="9">
        <f>IF($N70="USD",INDEX('Dólar Spot'!$C:$C,MATCH(Base!$G80,'Dólar Spot'!$A:$A,0)),"")</f>
        <v>2.0737000000000001</v>
      </c>
      <c r="L70" s="8">
        <v>500000000</v>
      </c>
      <c r="M70" s="7">
        <f>IF(N70="USD",L70*K70/1000000,L70/1000000)</f>
        <v>1036.8499999999999</v>
      </c>
      <c r="N70" s="6" t="s">
        <v>16</v>
      </c>
      <c r="O70" s="9" t="str" cm="1">
        <f t="array" ref="O70">INDEX(Ratings!$B$2:$L$42,_xlfn.XMATCH(Base!E80,Ratings!$A$2:$A$42),_xlfn.XMATCH(YEAR(Base!G80),Ratings!$B$1:$L$1))</f>
        <v>BBB-</v>
      </c>
      <c r="P70">
        <f>IF(AND(O70&lt;&gt;"BBB-",O70&lt;&gt;"BBB",O70&lt;&gt;"BBB+"),0,1)</f>
        <v>1</v>
      </c>
      <c r="Q70" s="7">
        <f>INDEX('Bonds ANBIMA'!$F:$F,MATCH(Base!$B80,'Bonds ANBIMA'!$A:$A,0))</f>
        <v>1648.2683486486485</v>
      </c>
      <c r="R70" s="21">
        <f>INDEX('Bonds ANBIMA'!$H:$H,MATCH(Base!$B80,'Bonds ANBIMA'!$A:$A,0))</f>
        <v>0.81690140845070425</v>
      </c>
      <c r="S70" s="7">
        <f>INDEX('Debêntures ANBIMA'!$O:$O,MATCH(Base!$B80,'Debêntures ANBIMA'!$A:$A,0))</f>
        <v>205.0157142857143</v>
      </c>
      <c r="T70" s="24">
        <f>INDEX('Debêntures ANBIMA'!$P:$P,MATCH(Base!$B80,'Debêntures ANBIMA'!$A:$A,0))</f>
        <v>0.82833480426985795</v>
      </c>
    </row>
    <row r="71" spans="1:20" x14ac:dyDescent="0.35">
      <c r="A71">
        <f>YEAR(B71)</f>
        <v>2019</v>
      </c>
      <c r="B71" s="12">
        <f>DATE(YEAR(G71),MONTH(G71),DAY(1))</f>
        <v>43556</v>
      </c>
      <c r="C71">
        <f>IF(E71&lt;&gt;E70,C70+1,C70)</f>
        <v>8</v>
      </c>
      <c r="D71" s="6" t="s">
        <v>302</v>
      </c>
      <c r="E71" s="6" t="s">
        <v>43</v>
      </c>
      <c r="F71" s="6" t="s">
        <v>346</v>
      </c>
      <c r="G71" s="1">
        <v>43585</v>
      </c>
      <c r="H71" s="1">
        <v>44681</v>
      </c>
      <c r="I71" s="7">
        <f>IF(H71-G71&gt;(365*5),1,0)</f>
        <v>0</v>
      </c>
      <c r="J71" s="22">
        <v>1</v>
      </c>
      <c r="K71" s="9" t="str">
        <f>IF($N71="USD",INDEX('Dólar Spot'!$C:$C,MATCH(Base!$G88,'Dólar Spot'!$A:$A,0)),"")</f>
        <v/>
      </c>
      <c r="L71" s="8">
        <v>70000000</v>
      </c>
      <c r="M71" s="7">
        <f>IF(N71="USD",L71*K71/1000000,L71/1000000)</f>
        <v>70</v>
      </c>
      <c r="N71" s="6" t="s">
        <v>348</v>
      </c>
      <c r="O71" s="9" t="str" cm="1">
        <f t="array" ref="O71">INDEX(Ratings!$B$2:$L$42,_xlfn.XMATCH(Base!E88,Ratings!$A$2:$A$42),_xlfn.XMATCH(YEAR(Base!G88),Ratings!$B$1:$L$1))</f>
        <v>BBB-</v>
      </c>
      <c r="P71">
        <f>IF(AND(O71&lt;&gt;"BBB-",O71&lt;&gt;"BBB",O71&lt;&gt;"BBB+"),0,1)</f>
        <v>1</v>
      </c>
      <c r="Q71" s="7">
        <f>INDEX('Bonds ANBIMA'!$F:$F,MATCH(Base!$B88,'Bonds ANBIMA'!$A:$A,0))</f>
        <v>2457.9190340136051</v>
      </c>
      <c r="R71" s="21">
        <f>INDEX('Bonds ANBIMA'!$H:$H,MATCH(Base!$B88,'Bonds ANBIMA'!$A:$A,0))</f>
        <v>0.85714285714285721</v>
      </c>
      <c r="S71" s="7">
        <f>INDEX('Debêntures ANBIMA'!$O:$O,MATCH(Base!$B88,'Debêntures ANBIMA'!$A:$A,0))</f>
        <v>692.0945789473684</v>
      </c>
      <c r="T71" s="24">
        <f>INDEX('Debêntures ANBIMA'!$P:$P,MATCH(Base!$B88,'Debêntures ANBIMA'!$A:$A,0))</f>
        <v>0.89482727375943505</v>
      </c>
    </row>
    <row r="72" spans="1:20" x14ac:dyDescent="0.35">
      <c r="A72">
        <f>YEAR(B72)</f>
        <v>2019</v>
      </c>
      <c r="B72" s="12">
        <f>DATE(YEAR(G72),MONTH(G72),DAY(1))</f>
        <v>43556</v>
      </c>
      <c r="C72">
        <f>IF(E72&lt;&gt;E71,C71+1,C71)</f>
        <v>8</v>
      </c>
      <c r="D72" s="6" t="s">
        <v>302</v>
      </c>
      <c r="E72" s="6" t="s">
        <v>43</v>
      </c>
      <c r="F72" s="6" t="s">
        <v>346</v>
      </c>
      <c r="G72" s="1">
        <v>43585</v>
      </c>
      <c r="H72" s="1">
        <v>46142</v>
      </c>
      <c r="I72" s="7">
        <f>IF(H72-G72&gt;(365*5),1,0)</f>
        <v>1</v>
      </c>
      <c r="J72" s="22">
        <v>1</v>
      </c>
      <c r="K72" s="9" t="str">
        <f>IF($N72="USD",INDEX('Dólar Spot'!$C:$C,MATCH(Base!$G89,'Dólar Spot'!$A:$A,0)),"")</f>
        <v/>
      </c>
      <c r="L72" s="8">
        <v>411732000</v>
      </c>
      <c r="M72" s="7">
        <f>IF(N72="USD",L72*K72/1000000,L72/1000000)</f>
        <v>411.73200000000003</v>
      </c>
      <c r="N72" s="6" t="s">
        <v>347</v>
      </c>
      <c r="O72" s="9" t="str" cm="1">
        <f t="array" ref="O72">INDEX(Ratings!$B$2:$L$42,_xlfn.XMATCH(Base!E89,Ratings!$A$2:$A$42),_xlfn.XMATCH(YEAR(Base!G89),Ratings!$B$1:$L$1))</f>
        <v>BBB-</v>
      </c>
      <c r="P72">
        <f>IF(AND(O72&lt;&gt;"BBB-",O72&lt;&gt;"BBB",O72&lt;&gt;"BBB+"),0,1)</f>
        <v>1</v>
      </c>
      <c r="Q72" s="7">
        <f>INDEX('Bonds ANBIMA'!$F:$F,MATCH(Base!$B89,'Bonds ANBIMA'!$A:$A,0))</f>
        <v>0</v>
      </c>
      <c r="R72" s="21">
        <f>INDEX('Bonds ANBIMA'!$H:$H,MATCH(Base!$B89,'Bonds ANBIMA'!$A:$A,0))</f>
        <v>0.77777777777777779</v>
      </c>
      <c r="S72" s="7">
        <f>INDEX('Debêntures ANBIMA'!$O:$O,MATCH(Base!$B89,'Debêntures ANBIMA'!$A:$A,0))</f>
        <v>349.91726772413796</v>
      </c>
      <c r="T72" s="24">
        <f>INDEX('Debêntures ANBIMA'!$P:$P,MATCH(Base!$B89,'Debêntures ANBIMA'!$A:$A,0))</f>
        <v>0.63876540206182508</v>
      </c>
    </row>
    <row r="73" spans="1:20" x14ac:dyDescent="0.35">
      <c r="A73">
        <f>YEAR(B73)</f>
        <v>2019</v>
      </c>
      <c r="B73" s="12">
        <f>DATE(YEAR(G73),MONTH(G73),DAY(1))</f>
        <v>43556</v>
      </c>
      <c r="C73">
        <f>IF(E73&lt;&gt;E72,C72+1,C72)</f>
        <v>8</v>
      </c>
      <c r="D73" s="6" t="s">
        <v>302</v>
      </c>
      <c r="E73" s="6" t="s">
        <v>43</v>
      </c>
      <c r="F73" s="6" t="s">
        <v>346</v>
      </c>
      <c r="G73" s="1">
        <v>43585</v>
      </c>
      <c r="H73" s="1">
        <v>46142</v>
      </c>
      <c r="I73" s="7">
        <f>IF(H73-G73&gt;(365*5),1,0)</f>
        <v>1</v>
      </c>
      <c r="J73" s="22">
        <v>1</v>
      </c>
      <c r="K73" s="9" t="str">
        <f>IF($N73="USD",INDEX('Dólar Spot'!$C:$C,MATCH(Base!$G90,'Dólar Spot'!$A:$A,0)),"")</f>
        <v/>
      </c>
      <c r="L73" s="8">
        <v>268268000</v>
      </c>
      <c r="M73" s="7">
        <f>IF(N73="USD",L73*K73/1000000,L73/1000000)</f>
        <v>268.26799999999997</v>
      </c>
      <c r="N73" s="6" t="s">
        <v>348</v>
      </c>
      <c r="O73" s="9" t="str" cm="1">
        <f t="array" ref="O73">INDEX(Ratings!$B$2:$L$42,_xlfn.XMATCH(Base!E90,Ratings!$A$2:$A$42),_xlfn.XMATCH(YEAR(Base!G90),Ratings!$B$1:$L$1))</f>
        <v>NR</v>
      </c>
      <c r="P73">
        <f>IF(AND(O73&lt;&gt;"BBB-",O73&lt;&gt;"BBB",O73&lt;&gt;"BBB+"),0,1)</f>
        <v>0</v>
      </c>
      <c r="Q73" s="7">
        <f>INDEX('Bonds ANBIMA'!$F:$F,MATCH(Base!$B90,'Bonds ANBIMA'!$A:$A,0))</f>
        <v>2100.545443333333</v>
      </c>
      <c r="R73" s="21">
        <f>INDEX('Bonds ANBIMA'!$H:$H,MATCH(Base!$B90,'Bonds ANBIMA'!$A:$A,0))</f>
        <v>0.61224489795918369</v>
      </c>
      <c r="S73" s="7">
        <f>INDEX('Debêntures ANBIMA'!$O:$O,MATCH(Base!$B90,'Debêntures ANBIMA'!$A:$A,0))</f>
        <v>347.1515</v>
      </c>
      <c r="T73" s="24">
        <f>INDEX('Debêntures ANBIMA'!$P:$P,MATCH(Base!$B90,'Debêntures ANBIMA'!$A:$A,0))</f>
        <v>0.89276058422825388</v>
      </c>
    </row>
    <row r="74" spans="1:20" x14ac:dyDescent="0.35">
      <c r="A74">
        <f>YEAR(B74)</f>
        <v>2019</v>
      </c>
      <c r="B74" s="12">
        <f>DATE(YEAR(G74),MONTH(G74),DAY(1))</f>
        <v>43709</v>
      </c>
      <c r="C74">
        <f>IF(E74&lt;&gt;E73,C73+1,C73)</f>
        <v>8</v>
      </c>
      <c r="D74" s="6" t="s">
        <v>46</v>
      </c>
      <c r="E74" s="6" t="s">
        <v>43</v>
      </c>
      <c r="F74" s="6" t="s">
        <v>233</v>
      </c>
      <c r="G74" s="1">
        <v>43732</v>
      </c>
      <c r="H74" s="1" t="s">
        <v>47</v>
      </c>
      <c r="I74" s="7">
        <f>IF(H74-G74&gt;(365*5),1,0)</f>
        <v>1</v>
      </c>
      <c r="J74" s="22">
        <v>1</v>
      </c>
      <c r="K74" s="9">
        <f>IF($N74="USD",INDEX('Dólar Spot'!$C:$C,MATCH(Base!$G81,'Dólar Spot'!$A:$A,0)),"")</f>
        <v>3.8997000000000002</v>
      </c>
      <c r="L74" s="8">
        <v>750000000</v>
      </c>
      <c r="M74" s="7">
        <f>IF(N74="USD",L74*K74/1000000,L74/1000000)</f>
        <v>2924.7750000000001</v>
      </c>
      <c r="N74" s="6" t="s">
        <v>16</v>
      </c>
      <c r="O74" s="9" t="str" cm="1">
        <f t="array" ref="O74">INDEX(Ratings!$B$2:$L$42,_xlfn.XMATCH(Base!E81,Ratings!$A$2:$A$42),_xlfn.XMATCH(YEAR(Base!G81),Ratings!$B$1:$L$1))</f>
        <v>BBB-</v>
      </c>
      <c r="P74">
        <f>IF(AND(O74&lt;&gt;"BBB-",O74&lt;&gt;"BBB",O74&lt;&gt;"BBB+"),0,1)</f>
        <v>1</v>
      </c>
      <c r="Q74" s="7">
        <f>INDEX('Bonds ANBIMA'!$F:$F,MATCH(Base!$B81,'Bonds ANBIMA'!$A:$A,0))</f>
        <v>2154.1763596491228</v>
      </c>
      <c r="R74" s="21">
        <f>INDEX('Bonds ANBIMA'!$H:$H,MATCH(Base!$B81,'Bonds ANBIMA'!$A:$A,0))</f>
        <v>0.8125</v>
      </c>
      <c r="S74" s="7">
        <f>INDEX('Debêntures ANBIMA'!$O:$O,MATCH(Base!$B81,'Debêntures ANBIMA'!$A:$A,0))</f>
        <v>599.62275384615384</v>
      </c>
      <c r="T74" s="24">
        <f>INDEX('Debêntures ANBIMA'!$P:$P,MATCH(Base!$B81,'Debêntures ANBIMA'!$A:$A,0))</f>
        <v>0.7802031687198594</v>
      </c>
    </row>
    <row r="75" spans="1:20" x14ac:dyDescent="0.35">
      <c r="A75">
        <f>YEAR(B75)</f>
        <v>2020</v>
      </c>
      <c r="B75" s="12">
        <f>DATE(YEAR(G75),MONTH(G75),DAY(1))</f>
        <v>44075</v>
      </c>
      <c r="C75">
        <f>IF(E75&lt;&gt;E74,C74+1,C74)</f>
        <v>8</v>
      </c>
      <c r="D75" s="6" t="s">
        <v>46</v>
      </c>
      <c r="E75" s="6" t="s">
        <v>43</v>
      </c>
      <c r="F75" s="6" t="s">
        <v>233</v>
      </c>
      <c r="G75" s="1">
        <v>44095</v>
      </c>
      <c r="H75" s="1" t="s">
        <v>48</v>
      </c>
      <c r="I75" s="7">
        <f>IF(H75-G75&gt;(365*5),1,0)</f>
        <v>1</v>
      </c>
      <c r="J75" s="22">
        <v>1</v>
      </c>
      <c r="K75" s="9" t="e">
        <f>IF($N75="USD",INDEX('Dólar Spot'!$C:$C,MATCH(Base!$G82,'Dólar Spot'!$A:$A,0)),"")</f>
        <v>#N/A</v>
      </c>
      <c r="L75" s="8">
        <v>500000000</v>
      </c>
      <c r="M75" s="7" t="e">
        <f>IF(N75="USD",L75*K75/1000000,L75/1000000)</f>
        <v>#N/A</v>
      </c>
      <c r="N75" s="6" t="s">
        <v>16</v>
      </c>
      <c r="O75" s="9" t="str" cm="1">
        <f t="array" ref="O75">INDEX(Ratings!$B$2:$L$42,_xlfn.XMATCH(Base!E82,Ratings!$A$2:$A$42),_xlfn.XMATCH(YEAR(Base!G82),Ratings!$B$1:$L$1))</f>
        <v>BBB-</v>
      </c>
      <c r="P75">
        <f>IF(AND(O75&lt;&gt;"BBB-",O75&lt;&gt;"BBB",O75&lt;&gt;"BBB+"),0,1)</f>
        <v>1</v>
      </c>
      <c r="Q75" s="7">
        <f>INDEX('Bonds ANBIMA'!$F:$F,MATCH(Base!$B82,'Bonds ANBIMA'!$A:$A,0))</f>
        <v>468.41731428571421</v>
      </c>
      <c r="R75" s="21">
        <f>INDEX('Bonds ANBIMA'!$H:$H,MATCH(Base!$B82,'Bonds ANBIMA'!$A:$A,0))</f>
        <v>0.78787878787878785</v>
      </c>
      <c r="S75" s="7">
        <f>INDEX('Debêntures ANBIMA'!$O:$O,MATCH(Base!$B82,'Debêntures ANBIMA'!$A:$A,0))</f>
        <v>201.45968115942031</v>
      </c>
      <c r="T75" s="24">
        <f>INDEX('Debêntures ANBIMA'!$P:$P,MATCH(Base!$B82,'Debêntures ANBIMA'!$A:$A,0))</f>
        <v>0.85244165467238142</v>
      </c>
    </row>
    <row r="76" spans="1:20" x14ac:dyDescent="0.35">
      <c r="A76">
        <f>YEAR(B76)</f>
        <v>2014</v>
      </c>
      <c r="B76" s="12">
        <f>DATE(YEAR(G76),MONTH(G76),DAY(1))</f>
        <v>41760</v>
      </c>
      <c r="C76">
        <f>IF(E76&lt;&gt;E75,C75+1,C75)</f>
        <v>8</v>
      </c>
      <c r="D76" s="6" t="s">
        <v>46</v>
      </c>
      <c r="E76" s="6" t="s">
        <v>43</v>
      </c>
      <c r="F76" s="6" t="s">
        <v>233</v>
      </c>
      <c r="G76" s="1">
        <v>41781</v>
      </c>
      <c r="H76" s="1" t="s">
        <v>49</v>
      </c>
      <c r="I76" s="7">
        <f>IF(H76-G76&gt;(365*5),1,0)</f>
        <v>1</v>
      </c>
      <c r="J76" s="22">
        <v>1</v>
      </c>
      <c r="K76" s="9">
        <f>IF($N76="USD",INDEX('Dólar Spot'!$C:$C,MATCH(Base!$G83,'Dólar Spot'!$A:$A,0)),"")</f>
        <v>5.5677000000000003</v>
      </c>
      <c r="L76" s="8">
        <v>500000000</v>
      </c>
      <c r="M76" s="7">
        <f>IF(N76="USD",L76*K76/1000000,L76/1000000)</f>
        <v>2783.85</v>
      </c>
      <c r="N76" s="6" t="s">
        <v>16</v>
      </c>
      <c r="O76" s="9" t="str" cm="1">
        <f t="array" ref="O76">INDEX(Ratings!$B$2:$L$42,_xlfn.XMATCH(Base!E83,Ratings!$A$2:$A$42),_xlfn.XMATCH(YEAR(Base!G83),Ratings!$B$1:$L$1))</f>
        <v>BB+</v>
      </c>
      <c r="P76">
        <f>IF(AND(O76&lt;&gt;"BBB-",O76&lt;&gt;"BBB",O76&lt;&gt;"BBB+"),0,1)</f>
        <v>0</v>
      </c>
      <c r="Q76" s="7">
        <f>INDEX('Bonds ANBIMA'!$F:$F,MATCH(Base!$B83,'Bonds ANBIMA'!$A:$A,0))</f>
        <v>0</v>
      </c>
      <c r="R76" s="21">
        <f>INDEX('Bonds ANBIMA'!$H:$H,MATCH(Base!$B83,'Bonds ANBIMA'!$A:$A,0))</f>
        <v>0.69230769230769229</v>
      </c>
      <c r="S76" s="7">
        <f>INDEX('Debêntures ANBIMA'!$O:$O,MATCH(Base!$B83,'Debêntures ANBIMA'!$A:$A,0))</f>
        <v>388.82487878787879</v>
      </c>
      <c r="T76" s="24">
        <f>INDEX('Debêntures ANBIMA'!$P:$P,MATCH(Base!$B83,'Debêntures ANBIMA'!$A:$A,0))</f>
        <v>0.42853613627928244</v>
      </c>
    </row>
    <row r="77" spans="1:20" x14ac:dyDescent="0.35">
      <c r="A77">
        <f>YEAR(B77)</f>
        <v>2013</v>
      </c>
      <c r="B77" s="12">
        <f>DATE(YEAR(G77),MONTH(G77),DAY(1))</f>
        <v>41395</v>
      </c>
      <c r="C77">
        <f>IF(E77&lt;&gt;E76,C76+1,C76)</f>
        <v>8</v>
      </c>
      <c r="D77" s="6" t="s">
        <v>46</v>
      </c>
      <c r="E77" s="6" t="s">
        <v>43</v>
      </c>
      <c r="F77" s="6" t="s">
        <v>233</v>
      </c>
      <c r="G77" s="1">
        <v>41416</v>
      </c>
      <c r="H77" s="1" t="s">
        <v>50</v>
      </c>
      <c r="I77" s="7">
        <f>IF(H77-G77&gt;(365*5),1,0)</f>
        <v>1</v>
      </c>
      <c r="J77" s="22">
        <v>1</v>
      </c>
      <c r="K77" s="9">
        <f>IF($N77="USD",INDEX('Dólar Spot'!$C:$C,MATCH(Base!$G84,'Dólar Spot'!$A:$A,0)),"")</f>
        <v>5.4257</v>
      </c>
      <c r="L77" s="8">
        <v>500000000</v>
      </c>
      <c r="M77" s="7">
        <f>IF(N77="USD",L77*K77/1000000,L77/1000000)</f>
        <v>2712.85</v>
      </c>
      <c r="N77" s="6" t="s">
        <v>16</v>
      </c>
      <c r="O77" s="9" t="str" cm="1">
        <f t="array" ref="O77">INDEX(Ratings!$B$2:$L$42,_xlfn.XMATCH(Base!E84,Ratings!$A$2:$A$42),_xlfn.XMATCH(YEAR(Base!G84),Ratings!$B$1:$L$1))</f>
        <v>BB+</v>
      </c>
      <c r="P77">
        <f>IF(AND(O77&lt;&gt;"BBB-",O77&lt;&gt;"BBB",O77&lt;&gt;"BBB+"),0,1)</f>
        <v>0</v>
      </c>
      <c r="Q77" s="7">
        <f>INDEX('Bonds ANBIMA'!$F:$F,MATCH(Base!$B84,'Bonds ANBIMA'!$A:$A,0))</f>
        <v>0</v>
      </c>
      <c r="R77" s="21">
        <f>INDEX('Bonds ANBIMA'!$H:$H,MATCH(Base!$B84,'Bonds ANBIMA'!$A:$A,0))</f>
        <v>0.69230769230769229</v>
      </c>
      <c r="S77" s="7">
        <f>INDEX('Debêntures ANBIMA'!$O:$O,MATCH(Base!$B84,'Debêntures ANBIMA'!$A:$A,0))</f>
        <v>370.28562499999998</v>
      </c>
      <c r="T77" s="24">
        <f>INDEX('Debêntures ANBIMA'!$P:$P,MATCH(Base!$B84,'Debêntures ANBIMA'!$A:$A,0))</f>
        <v>0.48934520212348187</v>
      </c>
    </row>
    <row r="78" spans="1:20" x14ac:dyDescent="0.35">
      <c r="A78">
        <f>YEAR(B78)</f>
        <v>2012</v>
      </c>
      <c r="B78" s="12">
        <f>DATE(YEAR(G78),MONTH(G78),DAY(1))</f>
        <v>41061</v>
      </c>
      <c r="C78">
        <f>IF(E78&lt;&gt;E77,C77+1,C77)</f>
        <v>8</v>
      </c>
      <c r="D78" s="6" t="s">
        <v>46</v>
      </c>
      <c r="E78" s="6" t="s">
        <v>43</v>
      </c>
      <c r="F78" s="6" t="s">
        <v>233</v>
      </c>
      <c r="G78" s="1">
        <v>41066</v>
      </c>
      <c r="H78" s="1" t="s">
        <v>51</v>
      </c>
      <c r="I78" s="7">
        <f>IF(H78-G78&gt;(365*5),1,0)</f>
        <v>1</v>
      </c>
      <c r="J78" s="22">
        <v>1</v>
      </c>
      <c r="K78" s="9">
        <f>IF($N78="USD",INDEX('Dólar Spot'!$C:$C,MATCH(Base!$G85,'Dólar Spot'!$A:$A,0)),"")</f>
        <v>5.2721999999999998</v>
      </c>
      <c r="L78" s="8">
        <v>500000000</v>
      </c>
      <c r="M78" s="7">
        <f>IF(N78="USD",L78*K78/1000000,L78/1000000)</f>
        <v>2636.1</v>
      </c>
      <c r="N78" s="6" t="s">
        <v>16</v>
      </c>
      <c r="O78" s="9" t="str" cm="1">
        <f t="array" ref="O78">INDEX(Ratings!$B$2:$L$42,_xlfn.XMATCH(Base!E85,Ratings!$A$2:$A$42),_xlfn.XMATCH(YEAR(Base!G85),Ratings!$B$1:$L$1))</f>
        <v>BB+</v>
      </c>
      <c r="P78">
        <f>IF(AND(O78&lt;&gt;"BBB-",O78&lt;&gt;"BBB",O78&lt;&gt;"BBB+"),0,1)</f>
        <v>0</v>
      </c>
      <c r="Q78" s="7">
        <f>INDEX('Bonds ANBIMA'!$F:$F,MATCH(Base!$B85,'Bonds ANBIMA'!$A:$A,0))</f>
        <v>3599.2539682539682</v>
      </c>
      <c r="R78" s="21">
        <f>INDEX('Bonds ANBIMA'!$H:$H,MATCH(Base!$B85,'Bonds ANBIMA'!$A:$A,0))</f>
        <v>0.70370370370370372</v>
      </c>
      <c r="S78" s="7">
        <f>INDEX('Debêntures ANBIMA'!$O:$O,MATCH(Base!$B85,'Debêntures ANBIMA'!$A:$A,0))</f>
        <v>312.55047368421054</v>
      </c>
      <c r="T78" s="24">
        <f>INDEX('Debêntures ANBIMA'!$P:$P,MATCH(Base!$B85,'Debêntures ANBIMA'!$A:$A,0))</f>
        <v>0.90771570084636288</v>
      </c>
    </row>
    <row r="79" spans="1:20" x14ac:dyDescent="0.35">
      <c r="A79">
        <f>YEAR(B79)</f>
        <v>2020</v>
      </c>
      <c r="B79" s="12">
        <f>DATE(YEAR(G79),MONTH(G79),DAY(1))</f>
        <v>44105</v>
      </c>
      <c r="C79">
        <f>IF(E79&lt;&gt;E78,C78+1,C78)</f>
        <v>8</v>
      </c>
      <c r="D79" s="6" t="s">
        <v>46</v>
      </c>
      <c r="E79" s="6" t="s">
        <v>43</v>
      </c>
      <c r="F79" s="6" t="s">
        <v>233</v>
      </c>
      <c r="G79" s="1">
        <v>44130</v>
      </c>
      <c r="H79" s="1" t="s">
        <v>48</v>
      </c>
      <c r="I79" s="7">
        <f>IF(H79-G79&gt;(365*5),1,0)</f>
        <v>1</v>
      </c>
      <c r="J79" s="22">
        <v>1</v>
      </c>
      <c r="K79" s="9">
        <f>IF($N79="USD",INDEX('Dólar Spot'!$C:$C,MATCH(Base!$G86,'Dólar Spot'!$A:$A,0)),"")</f>
        <v>5.0049000000000001</v>
      </c>
      <c r="L79" s="8">
        <v>300000000</v>
      </c>
      <c r="M79" s="7">
        <f>IF(N79="USD",L79*K79/1000000,L79/1000000)</f>
        <v>1501.47</v>
      </c>
      <c r="N79" s="6" t="s">
        <v>16</v>
      </c>
      <c r="O79" s="9" t="str" cm="1">
        <f t="array" ref="O79">INDEX(Ratings!$B$2:$L$42,_xlfn.XMATCH(Base!E86,Ratings!$A$2:$A$42),_xlfn.XMATCH(YEAR(Base!G86),Ratings!$B$1:$L$1))</f>
        <v>BB+</v>
      </c>
      <c r="P79">
        <f>IF(AND(O79&lt;&gt;"BBB-",O79&lt;&gt;"BBB",O79&lt;&gt;"BBB+"),0,1)</f>
        <v>0</v>
      </c>
      <c r="Q79" s="7">
        <f>INDEX('Bonds ANBIMA'!$F:$F,MATCH(Base!$B86,'Bonds ANBIMA'!$A:$A,0))</f>
        <v>3609.2190909090909</v>
      </c>
      <c r="R79" s="21">
        <f>INDEX('Bonds ANBIMA'!$H:$H,MATCH(Base!$B86,'Bonds ANBIMA'!$A:$A,0))</f>
        <v>0.79166666666666663</v>
      </c>
      <c r="S79" s="7">
        <f>INDEX('Debêntures ANBIMA'!$O:$O,MATCH(Base!$B86,'Debêntures ANBIMA'!$A:$A,0))</f>
        <v>568.24089808413794</v>
      </c>
      <c r="T79" s="24">
        <f>INDEX('Debêntures ANBIMA'!$P:$P,MATCH(Base!$B86,'Debêntures ANBIMA'!$A:$A,0))</f>
        <v>0.46520214713834979</v>
      </c>
    </row>
    <row r="80" spans="1:20" x14ac:dyDescent="0.35">
      <c r="A80">
        <f>YEAR(B80)</f>
        <v>2012</v>
      </c>
      <c r="B80" s="12">
        <f>DATE(YEAR(G80),MONTH(G80),DAY(1))</f>
        <v>41061</v>
      </c>
      <c r="C80">
        <f>IF(E80&lt;&gt;E79,C79+1,C79)</f>
        <v>8</v>
      </c>
      <c r="D80" s="6" t="s">
        <v>46</v>
      </c>
      <c r="E80" s="6" t="s">
        <v>43</v>
      </c>
      <c r="F80" s="6" t="s">
        <v>233</v>
      </c>
      <c r="G80" s="1">
        <v>41086</v>
      </c>
      <c r="H80" s="1" t="s">
        <v>51</v>
      </c>
      <c r="I80" s="7">
        <f>IF(H80-G80&gt;(365*5),1,0)</f>
        <v>1</v>
      </c>
      <c r="J80" s="22">
        <v>1</v>
      </c>
      <c r="K80" s="9">
        <f>IF($N80="USD",INDEX('Dólar Spot'!$C:$C,MATCH(Base!$G87,'Dólar Spot'!$A:$A,0)),"")</f>
        <v>5.2721999999999998</v>
      </c>
      <c r="L80" s="8">
        <v>250000000</v>
      </c>
      <c r="M80" s="7">
        <f>IF(N80="USD",L80*K80/1000000,L80/1000000)</f>
        <v>1318.05</v>
      </c>
      <c r="N80" s="6" t="s">
        <v>16</v>
      </c>
      <c r="O80" s="9" t="str" cm="1">
        <f t="array" ref="O80">INDEX(Ratings!$B$2:$L$42,_xlfn.XMATCH(Base!E87,Ratings!$A$2:$A$42),_xlfn.XMATCH(YEAR(Base!G87),Ratings!$B$1:$L$1))</f>
        <v>BB+</v>
      </c>
      <c r="P80">
        <f>IF(AND(O80&lt;&gt;"BBB-",O80&lt;&gt;"BBB",O80&lt;&gt;"BBB+"),0,1)</f>
        <v>0</v>
      </c>
      <c r="Q80" s="7">
        <f>INDEX('Bonds ANBIMA'!$F:$F,MATCH(Base!$B87,'Bonds ANBIMA'!$A:$A,0))</f>
        <v>3599.2539682539682</v>
      </c>
      <c r="R80" s="21">
        <f>INDEX('Bonds ANBIMA'!$H:$H,MATCH(Base!$B87,'Bonds ANBIMA'!$A:$A,0))</f>
        <v>0.70370370370370372</v>
      </c>
      <c r="S80" s="7">
        <f>INDEX('Debêntures ANBIMA'!$O:$O,MATCH(Base!$B87,'Debêntures ANBIMA'!$A:$A,0))</f>
        <v>312.55047368421054</v>
      </c>
      <c r="T80" s="24">
        <f>INDEX('Debêntures ANBIMA'!$P:$P,MATCH(Base!$B87,'Debêntures ANBIMA'!$A:$A,0))</f>
        <v>0.90771570084636288</v>
      </c>
    </row>
    <row r="81" spans="1:20" x14ac:dyDescent="0.35">
      <c r="A81">
        <f>YEAR(B81)</f>
        <v>2019</v>
      </c>
      <c r="B81" s="12">
        <f>DATE(YEAR(G81),MONTH(G81),DAY(1))</f>
        <v>43617</v>
      </c>
      <c r="C81">
        <f>IF(E81&lt;&gt;E80,C80+1,C80)</f>
        <v>9</v>
      </c>
      <c r="D81" s="6" t="s">
        <v>301</v>
      </c>
      <c r="E81" s="6" t="s">
        <v>30</v>
      </c>
      <c r="F81" s="6" t="s">
        <v>346</v>
      </c>
      <c r="G81" s="1">
        <v>43619</v>
      </c>
      <c r="H81" s="1">
        <v>43985</v>
      </c>
      <c r="I81" s="7">
        <f>IF(H81-G81&gt;(365*5),1,0)</f>
        <v>0</v>
      </c>
      <c r="J81" s="22">
        <v>1</v>
      </c>
      <c r="K81" s="9" t="str">
        <f>IF($N81="USD",INDEX('Dólar Spot'!$C:$C,MATCH(Base!$G71,'Dólar Spot'!$A:$A,0)),"")</f>
        <v/>
      </c>
      <c r="L81" s="8">
        <v>450000000</v>
      </c>
      <c r="M81" s="7">
        <f>IF(N81="USD",L81*K81/1000000,L81/1000000)</f>
        <v>450</v>
      </c>
      <c r="N81" s="6" t="s">
        <v>348</v>
      </c>
      <c r="O81" s="9" t="str" cm="1">
        <f t="array" ref="O81">INDEX(Ratings!$B$2:$L$42,_xlfn.XMATCH(Base!E71,Ratings!$A$2:$A$42),_xlfn.XMATCH(YEAR(Base!G71),Ratings!$B$1:$L$1))</f>
        <v>BB</v>
      </c>
      <c r="P81">
        <f>IF(AND(O81&lt;&gt;"BBB-",O81&lt;&gt;"BBB",O81&lt;&gt;"BBB+"),0,1)</f>
        <v>0</v>
      </c>
      <c r="Q81" s="7">
        <f>INDEX('Bonds ANBIMA'!$F:$F,MATCH(Base!$B71,'Bonds ANBIMA'!$A:$A,0))</f>
        <v>4544.8166666666657</v>
      </c>
      <c r="R81" s="21">
        <f>INDEX('Bonds ANBIMA'!$H:$H,MATCH(Base!$B71,'Bonds ANBIMA'!$A:$A,0))</f>
        <v>0.83333333333333337</v>
      </c>
      <c r="S81" s="7">
        <f>INDEX('Debêntures ANBIMA'!$O:$O,MATCH(Base!$B71,'Debêntures ANBIMA'!$A:$A,0))</f>
        <v>405.99201704000006</v>
      </c>
      <c r="T81" s="24">
        <f>INDEX('Debêntures ANBIMA'!$P:$P,MATCH(Base!$B71,'Debêntures ANBIMA'!$A:$A,0))</f>
        <v>0.92399320653021089</v>
      </c>
    </row>
    <row r="82" spans="1:20" x14ac:dyDescent="0.35">
      <c r="A82">
        <f>YEAR(B82)</f>
        <v>2019</v>
      </c>
      <c r="B82" s="12">
        <f>DATE(YEAR(G82),MONTH(G82),DAY(1))</f>
        <v>43800</v>
      </c>
      <c r="C82">
        <f>IF(E82&lt;&gt;E81,C81+1,C81)</f>
        <v>9</v>
      </c>
      <c r="D82" s="6" t="s">
        <v>301</v>
      </c>
      <c r="E82" s="6" t="s">
        <v>30</v>
      </c>
      <c r="F82" s="6" t="s">
        <v>346</v>
      </c>
      <c r="G82" s="1">
        <v>43814</v>
      </c>
      <c r="H82" s="1">
        <v>44362</v>
      </c>
      <c r="I82" s="7">
        <f>IF(H82-G82&gt;(365*5),1,0)</f>
        <v>0</v>
      </c>
      <c r="J82" s="22">
        <v>1</v>
      </c>
      <c r="K82" s="9" t="str">
        <f>IF($N82="USD",INDEX('Dólar Spot'!$C:$C,MATCH(Base!$G72,'Dólar Spot'!$A:$A,0)),"")</f>
        <v/>
      </c>
      <c r="L82" s="8">
        <v>160000000</v>
      </c>
      <c r="M82" s="7">
        <f>IF(N82="USD",L82*K82/1000000,L82/1000000)</f>
        <v>160</v>
      </c>
      <c r="N82" s="6" t="s">
        <v>348</v>
      </c>
      <c r="O82" s="9" t="str" cm="1">
        <f t="array" ref="O82">INDEX(Ratings!$B$2:$L$42,_xlfn.XMATCH(Base!E72,Ratings!$A$2:$A$42),_xlfn.XMATCH(YEAR(Base!G72),Ratings!$B$1:$L$1))</f>
        <v>BB</v>
      </c>
      <c r="P82">
        <f>IF(AND(O82&lt;&gt;"BBB-",O82&lt;&gt;"BBB",O82&lt;&gt;"BBB+"),0,1)</f>
        <v>0</v>
      </c>
      <c r="Q82" s="7">
        <f>INDEX('Bonds ANBIMA'!$F:$F,MATCH(Base!$B72,'Bonds ANBIMA'!$A:$A,0))</f>
        <v>4544.8166666666657</v>
      </c>
      <c r="R82" s="21">
        <f>INDEX('Bonds ANBIMA'!$H:$H,MATCH(Base!$B72,'Bonds ANBIMA'!$A:$A,0))</f>
        <v>0.83333333333333337</v>
      </c>
      <c r="S82" s="7">
        <f>INDEX('Debêntures ANBIMA'!$O:$O,MATCH(Base!$B72,'Debêntures ANBIMA'!$A:$A,0))</f>
        <v>405.99201704000006</v>
      </c>
      <c r="T82" s="24">
        <f>INDEX('Debêntures ANBIMA'!$P:$P,MATCH(Base!$B72,'Debêntures ANBIMA'!$A:$A,0))</f>
        <v>0.92399320653021089</v>
      </c>
    </row>
    <row r="83" spans="1:20" x14ac:dyDescent="0.35">
      <c r="A83">
        <f>YEAR(B83)</f>
        <v>2020</v>
      </c>
      <c r="B83" s="12">
        <f>DATE(YEAR(G83),MONTH(G83),DAY(1))</f>
        <v>43922</v>
      </c>
      <c r="C83">
        <f>IF(E83&lt;&gt;E82,C82+1,C82)</f>
        <v>9</v>
      </c>
      <c r="D83" s="6" t="s">
        <v>301</v>
      </c>
      <c r="E83" s="6" t="s">
        <v>30</v>
      </c>
      <c r="F83" s="6" t="s">
        <v>346</v>
      </c>
      <c r="G83" s="1">
        <v>43949</v>
      </c>
      <c r="H83" s="1">
        <v>44314</v>
      </c>
      <c r="I83" s="7">
        <f>IF(H83-G83&gt;(365*5),1,0)</f>
        <v>0</v>
      </c>
      <c r="J83" s="22">
        <v>1</v>
      </c>
      <c r="K83" s="9" t="str">
        <f>IF($N83="USD",INDEX('Dólar Spot'!$C:$C,MATCH(Base!$G73,'Dólar Spot'!$A:$A,0)),"")</f>
        <v/>
      </c>
      <c r="L83" s="8">
        <v>50000000</v>
      </c>
      <c r="M83" s="7">
        <f>IF(N83="USD",L83*K83/1000000,L83/1000000)</f>
        <v>50</v>
      </c>
      <c r="N83" s="6" t="s">
        <v>348</v>
      </c>
      <c r="O83" s="9" t="str" cm="1">
        <f t="array" ref="O83">INDEX(Ratings!$B$2:$L$42,_xlfn.XMATCH(Base!E73,Ratings!$A$2:$A$42),_xlfn.XMATCH(YEAR(Base!G73),Ratings!$B$1:$L$1))</f>
        <v>BB</v>
      </c>
      <c r="P83">
        <f>IF(AND(O83&lt;&gt;"BBB-",O83&lt;&gt;"BBB",O83&lt;&gt;"BBB+"),0,1)</f>
        <v>0</v>
      </c>
      <c r="Q83" s="7">
        <f>INDEX('Bonds ANBIMA'!$F:$F,MATCH(Base!$B73,'Bonds ANBIMA'!$A:$A,0))</f>
        <v>4544.8166666666657</v>
      </c>
      <c r="R83" s="21">
        <f>INDEX('Bonds ANBIMA'!$H:$H,MATCH(Base!$B73,'Bonds ANBIMA'!$A:$A,0))</f>
        <v>0.83333333333333337</v>
      </c>
      <c r="S83" s="7">
        <f>INDEX('Debêntures ANBIMA'!$O:$O,MATCH(Base!$B73,'Debêntures ANBIMA'!$A:$A,0))</f>
        <v>405.99201704000006</v>
      </c>
      <c r="T83" s="24">
        <f>INDEX('Debêntures ANBIMA'!$P:$P,MATCH(Base!$B73,'Debêntures ANBIMA'!$A:$A,0))</f>
        <v>0.92399320653021089</v>
      </c>
    </row>
    <row r="84" spans="1:20" x14ac:dyDescent="0.35">
      <c r="A84">
        <f>YEAR(B84)</f>
        <v>2020</v>
      </c>
      <c r="B84" s="12">
        <f>DATE(YEAR(G84),MONTH(G84),DAY(1))</f>
        <v>43952</v>
      </c>
      <c r="C84">
        <f>IF(E84&lt;&gt;E83,C83+1,C83)</f>
        <v>9</v>
      </c>
      <c r="D84" s="6" t="s">
        <v>301</v>
      </c>
      <c r="E84" s="6" t="s">
        <v>30</v>
      </c>
      <c r="F84" s="6" t="s">
        <v>346</v>
      </c>
      <c r="G84" s="1">
        <v>43980</v>
      </c>
      <c r="H84" s="1">
        <v>44529</v>
      </c>
      <c r="I84" s="7">
        <f>IF(H84-G84&gt;(365*5),1,0)</f>
        <v>0</v>
      </c>
      <c r="J84" s="22">
        <v>1</v>
      </c>
      <c r="K84" s="9" t="str">
        <f>IF($N84="USD",INDEX('Dólar Spot'!$C:$C,MATCH(Base!$G74,'Dólar Spot'!$A:$A,0)),"")</f>
        <v/>
      </c>
      <c r="L84" s="8">
        <v>450000000</v>
      </c>
      <c r="M84" s="7">
        <f>IF(N84="USD",L84*K84/1000000,L84/1000000)</f>
        <v>450</v>
      </c>
      <c r="N84" s="6" t="s">
        <v>348</v>
      </c>
      <c r="O84" s="9" t="str" cm="1">
        <f t="array" ref="O84">INDEX(Ratings!$B$2:$L$42,_xlfn.XMATCH(Base!E74,Ratings!$A$2:$A$42),_xlfn.XMATCH(YEAR(Base!G74),Ratings!$B$1:$L$1))</f>
        <v>BB</v>
      </c>
      <c r="P84">
        <f>IF(AND(O84&lt;&gt;"BBB-",O84&lt;&gt;"BBB",O84&lt;&gt;"BBB+"),0,1)</f>
        <v>0</v>
      </c>
      <c r="Q84" s="7">
        <f>INDEX('Bonds ANBIMA'!$F:$F,MATCH(Base!$B74,'Bonds ANBIMA'!$A:$A,0))</f>
        <v>3296.7200000000007</v>
      </c>
      <c r="R84" s="21">
        <f>INDEX('Bonds ANBIMA'!$H:$H,MATCH(Base!$B74,'Bonds ANBIMA'!$A:$A,0))</f>
        <v>0.79166666666666663</v>
      </c>
      <c r="S84" s="7">
        <f>INDEX('Debêntures ANBIMA'!$O:$O,MATCH(Base!$B74,'Debêntures ANBIMA'!$A:$A,0))</f>
        <v>315.42522222222226</v>
      </c>
      <c r="T84" s="24">
        <f>INDEX('Debêntures ANBIMA'!$P:$P,MATCH(Base!$B74,'Debêntures ANBIMA'!$A:$A,0))</f>
        <v>0.63969390756637756</v>
      </c>
    </row>
    <row r="85" spans="1:20" x14ac:dyDescent="0.35">
      <c r="A85">
        <f>YEAR(B85)</f>
        <v>2020</v>
      </c>
      <c r="B85" s="12">
        <f>DATE(YEAR(G85),MONTH(G85),DAY(1))</f>
        <v>44075</v>
      </c>
      <c r="C85">
        <f>IF(E85&lt;&gt;E84,C84+1,C84)</f>
        <v>9</v>
      </c>
      <c r="D85" s="6" t="s">
        <v>301</v>
      </c>
      <c r="E85" s="6" t="s">
        <v>30</v>
      </c>
      <c r="F85" s="6" t="s">
        <v>346</v>
      </c>
      <c r="G85" s="1">
        <v>44089</v>
      </c>
      <c r="H85" s="1">
        <v>45915</v>
      </c>
      <c r="I85" s="7">
        <f>IF(H85-G85&gt;(365*5),1,0)</f>
        <v>1</v>
      </c>
      <c r="J85" s="22">
        <v>1</v>
      </c>
      <c r="K85" s="9" t="str">
        <f>IF($N85="USD",INDEX('Dólar Spot'!$C:$C,MATCH(Base!$G75,'Dólar Spot'!$A:$A,0)),"")</f>
        <v/>
      </c>
      <c r="L85" s="8">
        <v>795000000</v>
      </c>
      <c r="M85" s="7">
        <f>IF(N85="USD",L85*K85/1000000,L85/1000000)</f>
        <v>795</v>
      </c>
      <c r="N85" s="6" t="s">
        <v>348</v>
      </c>
      <c r="O85" s="9" t="str" cm="1">
        <f t="array" ref="O85">INDEX(Ratings!$B$2:$L$42,_xlfn.XMATCH(Base!E75,Ratings!$A$2:$A$42),_xlfn.XMATCH(YEAR(Base!G75),Ratings!$B$1:$L$1))</f>
        <v>BB</v>
      </c>
      <c r="P85">
        <f>IF(AND(O85&lt;&gt;"BBB-",O85&lt;&gt;"BBB",O85&lt;&gt;"BBB+"),0,1)</f>
        <v>0</v>
      </c>
      <c r="Q85" s="7">
        <f>INDEX('Bonds ANBIMA'!$F:$F,MATCH(Base!$B75,'Bonds ANBIMA'!$A:$A,0))</f>
        <v>3599.2539682539682</v>
      </c>
      <c r="R85" s="21">
        <f>INDEX('Bonds ANBIMA'!$H:$H,MATCH(Base!$B75,'Bonds ANBIMA'!$A:$A,0))</f>
        <v>0.70370370370370372</v>
      </c>
      <c r="S85" s="7">
        <f>INDEX('Debêntures ANBIMA'!$O:$O,MATCH(Base!$B75,'Debêntures ANBIMA'!$A:$A,0))</f>
        <v>312.55047368421054</v>
      </c>
      <c r="T85" s="24">
        <f>INDEX('Debêntures ANBIMA'!$P:$P,MATCH(Base!$B75,'Debêntures ANBIMA'!$A:$A,0))</f>
        <v>0.90771570084636288</v>
      </c>
    </row>
    <row r="86" spans="1:20" x14ac:dyDescent="0.35">
      <c r="A86">
        <f>YEAR(B86)</f>
        <v>2021</v>
      </c>
      <c r="B86" s="12">
        <f>DATE(YEAR(G86),MONTH(G86),DAY(1))</f>
        <v>44378</v>
      </c>
      <c r="C86">
        <f>IF(E86&lt;&gt;E85,C85+1,C85)</f>
        <v>9</v>
      </c>
      <c r="D86" s="6" t="s">
        <v>301</v>
      </c>
      <c r="E86" s="6" t="s">
        <v>30</v>
      </c>
      <c r="F86" s="6" t="s">
        <v>346</v>
      </c>
      <c r="G86" s="1">
        <v>44378</v>
      </c>
      <c r="H86" s="1">
        <v>46204</v>
      </c>
      <c r="I86" s="7">
        <f>IF(H86-G86&gt;(365*5),1,0)</f>
        <v>1</v>
      </c>
      <c r="J86" s="22">
        <v>1</v>
      </c>
      <c r="K86" s="9" t="str">
        <f>IF($N86="USD",INDEX('Dólar Spot'!$C:$C,MATCH(Base!$G76,'Dólar Spot'!$A:$A,0)),"")</f>
        <v/>
      </c>
      <c r="L86" s="8">
        <v>200000000</v>
      </c>
      <c r="M86" s="7">
        <f>IF(N86="USD",L86*K86/1000000,L86/1000000)</f>
        <v>200</v>
      </c>
      <c r="N86" s="6" t="s">
        <v>348</v>
      </c>
      <c r="O86" s="9" t="str" cm="1">
        <f t="array" ref="O86">INDEX(Ratings!$B$2:$L$42,_xlfn.XMATCH(Base!E76,Ratings!$A$2:$A$42),_xlfn.XMATCH(YEAR(Base!G76),Ratings!$B$1:$L$1))</f>
        <v>BBB-</v>
      </c>
      <c r="P86">
        <f>IF(AND(O86&lt;&gt;"BBB-",O86&lt;&gt;"BBB",O86&lt;&gt;"BBB+"),0,1)</f>
        <v>1</v>
      </c>
      <c r="Q86" s="7">
        <f>INDEX('Bonds ANBIMA'!$F:$F,MATCH(Base!$B76,'Bonds ANBIMA'!$A:$A,0))</f>
        <v>1939.5944668202767</v>
      </c>
      <c r="R86" s="21">
        <f>INDEX('Bonds ANBIMA'!$H:$H,MATCH(Base!$B76,'Bonds ANBIMA'!$A:$A,0))</f>
        <v>0.7592592592592593</v>
      </c>
      <c r="S86" s="7">
        <f>INDEX('Debêntures ANBIMA'!$O:$O,MATCH(Base!$B76,'Debêntures ANBIMA'!$A:$A,0))</f>
        <v>215.26190476190476</v>
      </c>
      <c r="T86" s="24">
        <f>INDEX('Debêntures ANBIMA'!$P:$P,MATCH(Base!$B76,'Debêntures ANBIMA'!$A:$A,0))</f>
        <v>0.85643181064041585</v>
      </c>
    </row>
    <row r="87" spans="1:20" x14ac:dyDescent="0.35">
      <c r="A87">
        <f>YEAR(B87)</f>
        <v>2020</v>
      </c>
      <c r="B87" s="12">
        <f>DATE(YEAR(G87),MONTH(G87),DAY(1))</f>
        <v>44075</v>
      </c>
      <c r="C87">
        <f>IF(E87&lt;&gt;E86,C86+1,C86)</f>
        <v>9</v>
      </c>
      <c r="D87" s="6" t="s">
        <v>301</v>
      </c>
      <c r="E87" s="6" t="s">
        <v>30</v>
      </c>
      <c r="F87" s="6" t="s">
        <v>346</v>
      </c>
      <c r="G87" s="1">
        <v>44089</v>
      </c>
      <c r="H87" s="1">
        <v>49202</v>
      </c>
      <c r="I87" s="7">
        <f>IF(H87-G87&gt;(365*5),1,0)</f>
        <v>1</v>
      </c>
      <c r="J87" s="22">
        <v>1</v>
      </c>
      <c r="K87" s="9" t="str">
        <f>IF($N87="USD",INDEX('Dólar Spot'!$C:$C,MATCH(Base!$G77,'Dólar Spot'!$A:$A,0)),"")</f>
        <v/>
      </c>
      <c r="L87" s="8">
        <v>305000000</v>
      </c>
      <c r="M87" s="7">
        <f>IF(N87="USD",L87*K87/1000000,L87/1000000)</f>
        <v>305</v>
      </c>
      <c r="N87" s="6" t="s">
        <v>347</v>
      </c>
      <c r="O87" s="9" t="str" cm="1">
        <f t="array" ref="O87">INDEX(Ratings!$B$2:$L$42,_xlfn.XMATCH(Base!E77,Ratings!$A$2:$A$42),_xlfn.XMATCH(YEAR(Base!G77),Ratings!$B$1:$L$1))</f>
        <v>BBB-</v>
      </c>
      <c r="P87">
        <f>IF(AND(O87&lt;&gt;"BBB-",O87&lt;&gt;"BBB",O87&lt;&gt;"BBB+"),0,1)</f>
        <v>1</v>
      </c>
      <c r="Q87" s="7">
        <f>INDEX('Bonds ANBIMA'!$F:$F,MATCH(Base!$B77,'Bonds ANBIMA'!$A:$A,0))</f>
        <v>2155.6445777777776</v>
      </c>
      <c r="R87" s="21">
        <f>INDEX('Bonds ANBIMA'!$H:$H,MATCH(Base!$B77,'Bonds ANBIMA'!$A:$A,0))</f>
        <v>0.61224489795918369</v>
      </c>
      <c r="S87" s="7">
        <f>INDEX('Debêntures ANBIMA'!$O:$O,MATCH(Base!$B77,'Debêntures ANBIMA'!$A:$A,0))</f>
        <v>246.57692307692307</v>
      </c>
      <c r="T87" s="24">
        <f>INDEX('Debêntures ANBIMA'!$P:$P,MATCH(Base!$B77,'Debêntures ANBIMA'!$A:$A,0))</f>
        <v>0.40960848541569173</v>
      </c>
    </row>
    <row r="88" spans="1:20" x14ac:dyDescent="0.35">
      <c r="A88">
        <f>YEAR(B88)</f>
        <v>2015</v>
      </c>
      <c r="B88" s="12">
        <f>DATE(YEAR(G88),MONTH(G88),DAY(1))</f>
        <v>42005</v>
      </c>
      <c r="C88">
        <f>IF(E88&lt;&gt;E87,C87+1,C87)</f>
        <v>9</v>
      </c>
      <c r="D88" s="6" t="s">
        <v>301</v>
      </c>
      <c r="E88" s="6" t="s">
        <v>30</v>
      </c>
      <c r="F88" s="6" t="s">
        <v>346</v>
      </c>
      <c r="G88" s="1">
        <v>42030</v>
      </c>
      <c r="H88" s="1">
        <v>44210</v>
      </c>
      <c r="I88" s="7">
        <f>IF(H88-G88&gt;(365*5),1,0)</f>
        <v>1</v>
      </c>
      <c r="J88" s="22">
        <v>1</v>
      </c>
      <c r="K88" s="9" t="str">
        <f>IF($N88="USD",INDEX('Dólar Spot'!$C:$C,MATCH(Base!$G78,'Dólar Spot'!$A:$A,0)),"")</f>
        <v/>
      </c>
      <c r="L88" s="8">
        <v>100000000</v>
      </c>
      <c r="M88" s="7">
        <f>IF(N88="USD",L88*K88/1000000,L88/1000000)</f>
        <v>100</v>
      </c>
      <c r="N88" s="6" t="s">
        <v>348</v>
      </c>
      <c r="O88" s="9" t="str" cm="1">
        <f t="array" ref="O88">INDEX(Ratings!$B$2:$L$42,_xlfn.XMATCH(Base!E78,Ratings!$A$2:$A$42),_xlfn.XMATCH(YEAR(Base!G78),Ratings!$B$1:$L$1))</f>
        <v>BBB-</v>
      </c>
      <c r="P88">
        <f>IF(AND(O88&lt;&gt;"BBB-",O88&lt;&gt;"BBB",O88&lt;&gt;"BBB+"),0,1)</f>
        <v>1</v>
      </c>
      <c r="Q88" s="7">
        <f>INDEX('Bonds ANBIMA'!$F:$F,MATCH(Base!$B78,'Bonds ANBIMA'!$A:$A,0))</f>
        <v>1648.2683486486485</v>
      </c>
      <c r="R88" s="21">
        <f>INDEX('Bonds ANBIMA'!$H:$H,MATCH(Base!$B78,'Bonds ANBIMA'!$A:$A,0))</f>
        <v>0.81690140845070425</v>
      </c>
      <c r="S88" s="7">
        <f>INDEX('Debêntures ANBIMA'!$O:$O,MATCH(Base!$B78,'Debêntures ANBIMA'!$A:$A,0))</f>
        <v>205.0157142857143</v>
      </c>
      <c r="T88" s="24">
        <f>INDEX('Debêntures ANBIMA'!$P:$P,MATCH(Base!$B78,'Debêntures ANBIMA'!$A:$A,0))</f>
        <v>0.82833480426985795</v>
      </c>
    </row>
    <row r="89" spans="1:20" x14ac:dyDescent="0.35">
      <c r="A89">
        <f>YEAR(B89)</f>
        <v>2016</v>
      </c>
      <c r="B89" s="12">
        <f>DATE(YEAR(G89),MONTH(G89),DAY(1))</f>
        <v>42705</v>
      </c>
      <c r="C89">
        <f>IF(E89&lt;&gt;E88,C88+1,C88)</f>
        <v>9</v>
      </c>
      <c r="D89" s="6" t="s">
        <v>301</v>
      </c>
      <c r="E89" s="6" t="s">
        <v>30</v>
      </c>
      <c r="F89" s="6" t="s">
        <v>346</v>
      </c>
      <c r="G89" s="1">
        <v>42719</v>
      </c>
      <c r="H89" s="1">
        <v>44545</v>
      </c>
      <c r="I89" s="7">
        <f>IF(H89-G89&gt;(365*5),1,0)</f>
        <v>1</v>
      </c>
      <c r="J89" s="22">
        <v>1</v>
      </c>
      <c r="K89" s="9" t="str">
        <f>IF($N89="USD",INDEX('Dólar Spot'!$C:$C,MATCH(Base!$G79,'Dólar Spot'!$A:$A,0)),"")</f>
        <v/>
      </c>
      <c r="L89" s="8">
        <v>399000000</v>
      </c>
      <c r="M89" s="7">
        <f>IF(N89="USD",L89*K89/1000000,L89/1000000)</f>
        <v>399</v>
      </c>
      <c r="N89" s="6" t="s">
        <v>348</v>
      </c>
      <c r="O89" s="9" t="str" cm="1">
        <f t="array" ref="O89">INDEX(Ratings!$B$2:$L$42,_xlfn.XMATCH(Base!E79,Ratings!$A$2:$A$42),_xlfn.XMATCH(YEAR(Base!G79),Ratings!$B$1:$L$1))</f>
        <v>BB</v>
      </c>
      <c r="P89">
        <f>IF(AND(O89&lt;&gt;"BBB-",O89&lt;&gt;"BBB",O89&lt;&gt;"BBB+"),0,1)</f>
        <v>0</v>
      </c>
      <c r="Q89" s="7">
        <f>INDEX('Bonds ANBIMA'!$F:$F,MATCH(Base!$B79,'Bonds ANBIMA'!$A:$A,0))</f>
        <v>4218.8928571428578</v>
      </c>
      <c r="R89" s="21">
        <f>INDEX('Bonds ANBIMA'!$H:$H,MATCH(Base!$B79,'Bonds ANBIMA'!$A:$A,0))</f>
        <v>0.72413793103448276</v>
      </c>
      <c r="S89" s="7">
        <f>INDEX('Debêntures ANBIMA'!$O:$O,MATCH(Base!$B79,'Debêntures ANBIMA'!$A:$A,0))</f>
        <v>208.1991166734694</v>
      </c>
      <c r="T89" s="24">
        <f>INDEX('Debêntures ANBIMA'!$P:$P,MATCH(Base!$B79,'Debêntures ANBIMA'!$A:$A,0))</f>
        <v>0.70629373590015865</v>
      </c>
    </row>
    <row r="90" spans="1:20" x14ac:dyDescent="0.35">
      <c r="A90">
        <f>YEAR(B90)</f>
        <v>2013</v>
      </c>
      <c r="B90" s="12">
        <f>DATE(YEAR(G90),MONTH(G90),DAY(1))</f>
        <v>41334</v>
      </c>
      <c r="C90">
        <f>IF(E90&lt;&gt;E89,C89+1,C89)</f>
        <v>10</v>
      </c>
      <c r="D90" s="6" t="s">
        <v>303</v>
      </c>
      <c r="E90" s="6" t="s">
        <v>52</v>
      </c>
      <c r="F90" s="6" t="s">
        <v>346</v>
      </c>
      <c r="G90" s="1">
        <v>41360</v>
      </c>
      <c r="H90" s="1">
        <v>43186</v>
      </c>
      <c r="I90" s="7">
        <f>IF(H90-G90&gt;(365*5),1,0)</f>
        <v>1</v>
      </c>
      <c r="J90" s="6">
        <v>0</v>
      </c>
      <c r="K90" s="9" t="str">
        <f>IF($N90="USD",INDEX('Dólar Spot'!$C:$C,MATCH(Base!$G93,'Dólar Spot'!$A:$A,0)),"")</f>
        <v/>
      </c>
      <c r="L90" s="8">
        <v>72000000</v>
      </c>
      <c r="M90" s="7">
        <f>IF(N90="USD",L90*K90/1000000,L90/1000000)</f>
        <v>72</v>
      </c>
      <c r="N90" s="6" t="s">
        <v>348</v>
      </c>
      <c r="O90" s="9" t="str" cm="1">
        <f t="array" ref="O90">INDEX(Ratings!$B$2:$L$42,_xlfn.XMATCH(Base!E93,Ratings!$A$2:$A$42),_xlfn.XMATCH(YEAR(Base!G93),Ratings!$B$1:$L$1))</f>
        <v>NR</v>
      </c>
      <c r="P90">
        <f>IF(AND(O90&lt;&gt;"BBB-",O90&lt;&gt;"BBB",O90&lt;&gt;"BBB+"),0,1)</f>
        <v>0</v>
      </c>
      <c r="Q90" s="7">
        <f>INDEX('Bonds ANBIMA'!$F:$F,MATCH(Base!$B93,'Bonds ANBIMA'!$A:$A,0))</f>
        <v>2090.3808851851854</v>
      </c>
      <c r="R90" s="21">
        <f>INDEX('Bonds ANBIMA'!$H:$H,MATCH(Base!$B93,'Bonds ANBIMA'!$A:$A,0))</f>
        <v>0.61224489795918369</v>
      </c>
      <c r="S90" s="7">
        <f>INDEX('Debêntures ANBIMA'!$O:$O,MATCH(Base!$B93,'Debêntures ANBIMA'!$A:$A,0))</f>
        <v>1130.6986956521739</v>
      </c>
      <c r="T90" s="24">
        <f>INDEX('Debêntures ANBIMA'!$P:$P,MATCH(Base!$B93,'Debêntures ANBIMA'!$A:$A,0))</f>
        <v>0.98692612916907474</v>
      </c>
    </row>
    <row r="91" spans="1:20" x14ac:dyDescent="0.35">
      <c r="A91">
        <f>YEAR(B91)</f>
        <v>2013</v>
      </c>
      <c r="B91" s="12">
        <f>DATE(YEAR(G91),MONTH(G91),DAY(1))</f>
        <v>41306</v>
      </c>
      <c r="C91">
        <f>IF(E91&lt;&gt;E90,C90+1,C90)</f>
        <v>10</v>
      </c>
      <c r="D91" s="6" t="s">
        <v>304</v>
      </c>
      <c r="E91" s="6" t="s">
        <v>52</v>
      </c>
      <c r="F91" s="6" t="s">
        <v>346</v>
      </c>
      <c r="G91" s="1">
        <v>41320</v>
      </c>
      <c r="H91" s="1">
        <v>43146</v>
      </c>
      <c r="I91" s="7">
        <f>IF(H91-G91&gt;(365*5),1,0)</f>
        <v>1</v>
      </c>
      <c r="J91" s="6">
        <v>0</v>
      </c>
      <c r="K91" s="9" t="str">
        <f>IF($N91="USD",INDEX('Dólar Spot'!$C:$C,MATCH(Base!$G94,'Dólar Spot'!$A:$A,0)),"")</f>
        <v/>
      </c>
      <c r="L91" s="8">
        <v>410817000</v>
      </c>
      <c r="M91" s="7">
        <f>IF(N91="USD",L91*K91/1000000,L91/1000000)</f>
        <v>410.81700000000001</v>
      </c>
      <c r="N91" s="6" t="s">
        <v>348</v>
      </c>
      <c r="O91" s="9" t="str" cm="1">
        <f t="array" ref="O91">INDEX(Ratings!$B$2:$L$42,_xlfn.XMATCH(Base!E94,Ratings!$A$2:$A$42),_xlfn.XMATCH(YEAR(Base!G94),Ratings!$B$1:$L$1))</f>
        <v>NR</v>
      </c>
      <c r="P91">
        <f>IF(AND(O91&lt;&gt;"BBB-",O91&lt;&gt;"BBB",O91&lt;&gt;"BBB+"),0,1)</f>
        <v>0</v>
      </c>
      <c r="Q91" s="7">
        <f>INDEX('Bonds ANBIMA'!$F:$F,MATCH(Base!$B94,'Bonds ANBIMA'!$A:$A,0))</f>
        <v>2090.3808851851854</v>
      </c>
      <c r="R91" s="21">
        <f>INDEX('Bonds ANBIMA'!$H:$H,MATCH(Base!$B94,'Bonds ANBIMA'!$A:$A,0))</f>
        <v>0.61224489795918369</v>
      </c>
      <c r="S91" s="7">
        <f>INDEX('Debêntures ANBIMA'!$O:$O,MATCH(Base!$B94,'Debêntures ANBIMA'!$A:$A,0))</f>
        <v>1130.6986956521739</v>
      </c>
      <c r="T91" s="24">
        <f>INDEX('Debêntures ANBIMA'!$P:$P,MATCH(Base!$B94,'Debêntures ANBIMA'!$A:$A,0))</f>
        <v>0.98692612916907474</v>
      </c>
    </row>
    <row r="92" spans="1:20" x14ac:dyDescent="0.35">
      <c r="A92">
        <f>YEAR(B92)</f>
        <v>2015</v>
      </c>
      <c r="B92" s="12">
        <f>DATE(YEAR(G92),MONTH(G92),DAY(1))</f>
        <v>42339</v>
      </c>
      <c r="C92">
        <f>IF(E92&lt;&gt;E91,C91+1,C91)</f>
        <v>10</v>
      </c>
      <c r="D92" s="6" t="s">
        <v>304</v>
      </c>
      <c r="E92" s="6" t="s">
        <v>52</v>
      </c>
      <c r="F92" s="6" t="s">
        <v>346</v>
      </c>
      <c r="G92" s="1">
        <v>42353</v>
      </c>
      <c r="H92" s="1">
        <v>43449</v>
      </c>
      <c r="I92" s="7">
        <f>IF(H92-G92&gt;(365*5),1,0)</f>
        <v>0</v>
      </c>
      <c r="J92" s="6">
        <v>0</v>
      </c>
      <c r="K92" s="9" t="str">
        <f>IF($N92="USD",INDEX('Dólar Spot'!$C:$C,MATCH(Base!$G95,'Dólar Spot'!$A:$A,0)),"")</f>
        <v/>
      </c>
      <c r="L92" s="8">
        <v>1615000000</v>
      </c>
      <c r="M92" s="7">
        <f>IF(N92="USD",L92*K92/1000000,L92/1000000)</f>
        <v>1615</v>
      </c>
      <c r="N92" s="6" t="s">
        <v>348</v>
      </c>
      <c r="O92" s="9" t="str" cm="1">
        <f t="array" ref="O92">INDEX(Ratings!$B$2:$L$42,_xlfn.XMATCH(Base!E95,Ratings!$A$2:$A$42),_xlfn.XMATCH(YEAR(Base!G95),Ratings!$B$1:$L$1))</f>
        <v>B+</v>
      </c>
      <c r="P92">
        <f>IF(AND(O92&lt;&gt;"BBB-",O92&lt;&gt;"BBB",O92&lt;&gt;"BBB+"),0,1)</f>
        <v>0</v>
      </c>
      <c r="Q92" s="7">
        <f>INDEX('Bonds ANBIMA'!$F:$F,MATCH(Base!$B95,'Bonds ANBIMA'!$A:$A,0))</f>
        <v>1535.9446666666665</v>
      </c>
      <c r="R92" s="21">
        <f>INDEX('Bonds ANBIMA'!$H:$H,MATCH(Base!$B95,'Bonds ANBIMA'!$A:$A,0))</f>
        <v>0.89473684210526316</v>
      </c>
      <c r="S92" s="7">
        <f>INDEX('Debêntures ANBIMA'!$O:$O,MATCH(Base!$B95,'Debêntures ANBIMA'!$A:$A,0))</f>
        <v>259.67190909090914</v>
      </c>
      <c r="T92" s="24">
        <f>INDEX('Debêntures ANBIMA'!$P:$P,MATCH(Base!$B95,'Debêntures ANBIMA'!$A:$A,0))</f>
        <v>0.36330056435990116</v>
      </c>
    </row>
    <row r="93" spans="1:20" x14ac:dyDescent="0.35">
      <c r="A93">
        <f>YEAR(B93)</f>
        <v>2013</v>
      </c>
      <c r="B93" s="12">
        <f>DATE(YEAR(G93),MONTH(G93),DAY(1))</f>
        <v>41306</v>
      </c>
      <c r="C93">
        <f>IF(E93&lt;&gt;E92,C92+1,C92)</f>
        <v>10</v>
      </c>
      <c r="D93" s="6" t="s">
        <v>304</v>
      </c>
      <c r="E93" s="6" t="s">
        <v>52</v>
      </c>
      <c r="F93" s="6" t="s">
        <v>346</v>
      </c>
      <c r="G93" s="1">
        <v>41320</v>
      </c>
      <c r="H93" s="1">
        <v>44242</v>
      </c>
      <c r="I93" s="7">
        <f>IF(H93-G93&gt;(365*5),1,0)</f>
        <v>1</v>
      </c>
      <c r="J93" s="6">
        <v>0</v>
      </c>
      <c r="K93" s="9" t="str">
        <f>IF($N93="USD",INDEX('Dólar Spot'!$C:$C,MATCH(Base!$G96,'Dólar Spot'!$A:$A,0)),"")</f>
        <v/>
      </c>
      <c r="L93" s="8">
        <v>1095508000</v>
      </c>
      <c r="M93" s="7">
        <f>IF(N93="USD",L93*K93/1000000,L93/1000000)</f>
        <v>1095.508</v>
      </c>
      <c r="N93" s="6" t="s">
        <v>347</v>
      </c>
      <c r="O93" s="9" t="str" cm="1">
        <f t="array" ref="O93">INDEX(Ratings!$B$2:$L$42,_xlfn.XMATCH(Base!E96,Ratings!$A$2:$A$42),_xlfn.XMATCH(YEAR(Base!G96),Ratings!$B$1:$L$1))</f>
        <v>B</v>
      </c>
      <c r="P93">
        <f>IF(AND(O93&lt;&gt;"BBB-",O93&lt;&gt;"BBB",O93&lt;&gt;"BBB+"),0,1)</f>
        <v>0</v>
      </c>
      <c r="Q93" s="7">
        <f>INDEX('Bonds ANBIMA'!$F:$F,MATCH(Base!$B96,'Bonds ANBIMA'!$A:$A,0))</f>
        <v>0</v>
      </c>
      <c r="R93" s="21">
        <f>INDEX('Bonds ANBIMA'!$H:$H,MATCH(Base!$B96,'Bonds ANBIMA'!$A:$A,0))</f>
        <v>0.77272727272727271</v>
      </c>
      <c r="S93" s="7">
        <f>INDEX('Debêntures ANBIMA'!$O:$O,MATCH(Base!$B96,'Debêntures ANBIMA'!$A:$A,0))</f>
        <v>269.61020408163267</v>
      </c>
      <c r="T93" s="24">
        <f>INDEX('Debêntures ANBIMA'!$P:$P,MATCH(Base!$B96,'Debêntures ANBIMA'!$A:$A,0))</f>
        <v>0.83474381293078714</v>
      </c>
    </row>
    <row r="94" spans="1:20" x14ac:dyDescent="0.35">
      <c r="A94">
        <f>YEAR(B94)</f>
        <v>2013</v>
      </c>
      <c r="B94" s="12">
        <f>DATE(YEAR(G94),MONTH(G94),DAY(1))</f>
        <v>41306</v>
      </c>
      <c r="C94">
        <f>IF(E94&lt;&gt;E93,C93+1,C93)</f>
        <v>10</v>
      </c>
      <c r="D94" s="6" t="s">
        <v>304</v>
      </c>
      <c r="E94" s="6" t="s">
        <v>52</v>
      </c>
      <c r="F94" s="6" t="s">
        <v>346</v>
      </c>
      <c r="G94" s="1">
        <v>41320</v>
      </c>
      <c r="H94" s="1">
        <v>45703</v>
      </c>
      <c r="I94" s="7">
        <f>IF(H94-G94&gt;(365*5),1,0)</f>
        <v>1</v>
      </c>
      <c r="J94" s="6">
        <v>0</v>
      </c>
      <c r="K94" s="9" t="str">
        <f>IF($N94="USD",INDEX('Dólar Spot'!$C:$C,MATCH(Base!$G97,'Dólar Spot'!$A:$A,0)),"")</f>
        <v/>
      </c>
      <c r="L94" s="8">
        <v>653675000</v>
      </c>
      <c r="M94" s="7">
        <f>IF(N94="USD",L94*K94/1000000,L94/1000000)</f>
        <v>653.67499999999995</v>
      </c>
      <c r="N94" s="6" t="s">
        <v>347</v>
      </c>
      <c r="O94" s="9" t="str" cm="1">
        <f t="array" ref="O94">INDEX(Ratings!$B$2:$L$42,_xlfn.XMATCH(Base!E97,Ratings!$A$2:$A$42),_xlfn.XMATCH(YEAR(Base!G97),Ratings!$B$1:$L$1))</f>
        <v>B+</v>
      </c>
      <c r="P94">
        <f>IF(AND(O94&lt;&gt;"BBB-",O94&lt;&gt;"BBB",O94&lt;&gt;"BBB+"),0,1)</f>
        <v>0</v>
      </c>
      <c r="Q94" s="7">
        <f>INDEX('Bonds ANBIMA'!$F:$F,MATCH(Base!$B97,'Bonds ANBIMA'!$A:$A,0))</f>
        <v>2154.1763596491228</v>
      </c>
      <c r="R94" s="21">
        <f>INDEX('Bonds ANBIMA'!$H:$H,MATCH(Base!$B97,'Bonds ANBIMA'!$A:$A,0))</f>
        <v>0.8125</v>
      </c>
      <c r="S94" s="7">
        <f>INDEX('Debêntures ANBIMA'!$O:$O,MATCH(Base!$B97,'Debêntures ANBIMA'!$A:$A,0))</f>
        <v>599.62275384615384</v>
      </c>
      <c r="T94" s="24">
        <f>INDEX('Debêntures ANBIMA'!$P:$P,MATCH(Base!$B97,'Debêntures ANBIMA'!$A:$A,0))</f>
        <v>0.7802031687198594</v>
      </c>
    </row>
    <row r="95" spans="1:20" x14ac:dyDescent="0.35">
      <c r="A95">
        <f>YEAR(B95)</f>
        <v>2017</v>
      </c>
      <c r="B95" s="12">
        <f>DATE(YEAR(G95),MONTH(G95),DAY(1))</f>
        <v>43070</v>
      </c>
      <c r="C95">
        <f>IF(E95&lt;&gt;E94,C94+1,C94)</f>
        <v>10</v>
      </c>
      <c r="D95" s="6" t="s">
        <v>304</v>
      </c>
      <c r="E95" s="6" t="s">
        <v>52</v>
      </c>
      <c r="F95" s="6" t="s">
        <v>346</v>
      </c>
      <c r="G95" s="1">
        <v>43084</v>
      </c>
      <c r="H95" s="1">
        <v>44727</v>
      </c>
      <c r="I95" s="7">
        <f>IF(H95-G95&gt;(365*5),1,0)</f>
        <v>0</v>
      </c>
      <c r="J95" s="6">
        <v>1</v>
      </c>
      <c r="K95" s="9" t="str">
        <f>IF($N95="USD",INDEX('Dólar Spot'!$C:$C,MATCH(Base!$G98,'Dólar Spot'!$A:$A,0)),"")</f>
        <v/>
      </c>
      <c r="L95" s="8">
        <v>1575000000</v>
      </c>
      <c r="M95" s="7">
        <f>IF(N95="USD",L95*K95/1000000,L95/1000000)</f>
        <v>1575</v>
      </c>
      <c r="N95" s="6" t="s">
        <v>348</v>
      </c>
      <c r="O95" s="9" t="str" cm="1">
        <f t="array" ref="O95">INDEX(Ratings!$B$2:$L$42,_xlfn.XMATCH(Base!E98,Ratings!$A$2:$A$42),_xlfn.XMATCH(YEAR(Base!G98),Ratings!$B$1:$L$1))</f>
        <v>B+</v>
      </c>
      <c r="P95">
        <f>IF(AND(O95&lt;&gt;"BBB-",O95&lt;&gt;"BBB",O95&lt;&gt;"BBB+"),0,1)</f>
        <v>0</v>
      </c>
      <c r="Q95" s="7">
        <f>INDEX('Bonds ANBIMA'!$F:$F,MATCH(Base!$B98,'Bonds ANBIMA'!$A:$A,0))</f>
        <v>2154.1763596491228</v>
      </c>
      <c r="R95" s="21">
        <f>INDEX('Bonds ANBIMA'!$H:$H,MATCH(Base!$B98,'Bonds ANBIMA'!$A:$A,0))</f>
        <v>0.8125</v>
      </c>
      <c r="S95" s="7">
        <f>INDEX('Debêntures ANBIMA'!$O:$O,MATCH(Base!$B98,'Debêntures ANBIMA'!$A:$A,0))</f>
        <v>599.62275384615384</v>
      </c>
      <c r="T95" s="24">
        <f>INDEX('Debêntures ANBIMA'!$P:$P,MATCH(Base!$B98,'Debêntures ANBIMA'!$A:$A,0))</f>
        <v>0.7802031687198594</v>
      </c>
    </row>
    <row r="96" spans="1:20" x14ac:dyDescent="0.35">
      <c r="A96">
        <f>YEAR(B96)</f>
        <v>2018</v>
      </c>
      <c r="B96" s="12">
        <f>DATE(YEAR(G96),MONTH(G96),DAY(1))</f>
        <v>43435</v>
      </c>
      <c r="C96">
        <f>IF(E96&lt;&gt;E95,C95+1,C95)</f>
        <v>10</v>
      </c>
      <c r="D96" s="6" t="s">
        <v>304</v>
      </c>
      <c r="E96" s="6" t="s">
        <v>52</v>
      </c>
      <c r="F96" s="6" t="s">
        <v>346</v>
      </c>
      <c r="G96" s="1">
        <v>43437</v>
      </c>
      <c r="H96" s="1">
        <v>43985</v>
      </c>
      <c r="I96" s="7">
        <f>IF(H96-G96&gt;(365*5),1,0)</f>
        <v>0</v>
      </c>
      <c r="J96" s="6">
        <v>1</v>
      </c>
      <c r="K96" s="9" t="str">
        <f>IF($N96="USD",INDEX('Dólar Spot'!$C:$C,MATCH(Base!$G99,'Dólar Spot'!$A:$A,0)),"")</f>
        <v/>
      </c>
      <c r="L96" s="8">
        <v>550000000</v>
      </c>
      <c r="M96" s="7">
        <f>IF(N96="USD",L96*K96/1000000,L96/1000000)</f>
        <v>550</v>
      </c>
      <c r="N96" s="6" t="s">
        <v>348</v>
      </c>
      <c r="O96" s="9" t="str" cm="1">
        <f t="array" ref="O96">INDEX(Ratings!$B$2:$L$42,_xlfn.XMATCH(Base!E99,Ratings!$A$2:$A$42),_xlfn.XMATCH(YEAR(Base!G99),Ratings!$B$1:$L$1))</f>
        <v>NR</v>
      </c>
      <c r="P96">
        <f>IF(AND(O96&lt;&gt;"BBB-",O96&lt;&gt;"BBB",O96&lt;&gt;"BBB+"),0,1)</f>
        <v>0</v>
      </c>
      <c r="Q96" s="7">
        <f>INDEX('Bonds ANBIMA'!$F:$F,MATCH(Base!$B99,'Bonds ANBIMA'!$A:$A,0))</f>
        <v>1382.0987169274538</v>
      </c>
      <c r="R96" s="21">
        <f>INDEX('Bonds ANBIMA'!$H:$H,MATCH(Base!$B99,'Bonds ANBIMA'!$A:$A,0))</f>
        <v>0.81690140845070425</v>
      </c>
      <c r="S96" s="7">
        <f>INDEX('Debêntures ANBIMA'!$O:$O,MATCH(Base!$B99,'Debêntures ANBIMA'!$A:$A,0))</f>
        <v>216.71153846153845</v>
      </c>
      <c r="T96" s="24">
        <f>INDEX('Debêntures ANBIMA'!$P:$P,MATCH(Base!$B99,'Debêntures ANBIMA'!$A:$A,0))</f>
        <v>0.91569793238086783</v>
      </c>
    </row>
    <row r="97" spans="1:20" x14ac:dyDescent="0.35">
      <c r="A97">
        <f>YEAR(B97)</f>
        <v>2019</v>
      </c>
      <c r="B97" s="12">
        <f>DATE(YEAR(G97),MONTH(G97),DAY(1))</f>
        <v>43617</v>
      </c>
      <c r="C97">
        <f>IF(E97&lt;&gt;E96,C96+1,C96)</f>
        <v>10</v>
      </c>
      <c r="D97" s="6" t="s">
        <v>304</v>
      </c>
      <c r="E97" s="6" t="s">
        <v>52</v>
      </c>
      <c r="F97" s="6" t="s">
        <v>346</v>
      </c>
      <c r="G97" s="1">
        <v>43631</v>
      </c>
      <c r="H97" s="1">
        <v>45458</v>
      </c>
      <c r="I97" s="7">
        <f>IF(H97-G97&gt;(365*5),1,0)</f>
        <v>1</v>
      </c>
      <c r="J97" s="6">
        <v>1</v>
      </c>
      <c r="K97" s="9" t="str">
        <f>IF($N97="USD",INDEX('Dólar Spot'!$C:$C,MATCH(Base!$G100,'Dólar Spot'!$A:$A,0)),"")</f>
        <v/>
      </c>
      <c r="L97" s="8">
        <v>2160000000</v>
      </c>
      <c r="M97" s="7">
        <f>IF(N97="USD",L97*K97/1000000,L97/1000000)</f>
        <v>2160</v>
      </c>
      <c r="N97" s="6" t="s">
        <v>348</v>
      </c>
      <c r="O97" s="9" t="str" cm="1">
        <f t="array" ref="O97">INDEX(Ratings!$B$2:$L$42,_xlfn.XMATCH(Base!E100,Ratings!$A$2:$A$42),_xlfn.XMATCH(YEAR(Base!G100),Ratings!$B$1:$L$1))</f>
        <v>NR</v>
      </c>
      <c r="P97">
        <f>IF(AND(O97&lt;&gt;"BBB-",O97&lt;&gt;"BBB",O97&lt;&gt;"BBB+"),0,1)</f>
        <v>0</v>
      </c>
      <c r="Q97" s="7">
        <f>INDEX('Bonds ANBIMA'!$F:$F,MATCH(Base!$B100,'Bonds ANBIMA'!$A:$A,0))</f>
        <v>2484.8022746031747</v>
      </c>
      <c r="R97" s="21">
        <f>INDEX('Bonds ANBIMA'!$H:$H,MATCH(Base!$B100,'Bonds ANBIMA'!$A:$A,0))</f>
        <v>0.61224489795918369</v>
      </c>
      <c r="S97" s="7">
        <f>INDEX('Debêntures ANBIMA'!$O:$O,MATCH(Base!$B100,'Debêntures ANBIMA'!$A:$A,0))</f>
        <v>210.23809523809524</v>
      </c>
      <c r="T97" s="24">
        <f>INDEX('Debêntures ANBIMA'!$P:$P,MATCH(Base!$B100,'Debêntures ANBIMA'!$A:$A,0))</f>
        <v>0.57593431483578716</v>
      </c>
    </row>
    <row r="98" spans="1:20" x14ac:dyDescent="0.35">
      <c r="A98">
        <f>YEAR(B98)</f>
        <v>2019</v>
      </c>
      <c r="B98" s="12">
        <f>DATE(YEAR(G98),MONTH(G98),DAY(1))</f>
        <v>43617</v>
      </c>
      <c r="C98">
        <f>IF(E98&lt;&gt;E97,C97+1,C97)</f>
        <v>10</v>
      </c>
      <c r="D98" s="6" t="s">
        <v>304</v>
      </c>
      <c r="E98" s="6" t="s">
        <v>52</v>
      </c>
      <c r="F98" s="6" t="s">
        <v>346</v>
      </c>
      <c r="G98" s="1">
        <v>43631</v>
      </c>
      <c r="H98" s="1">
        <v>46188</v>
      </c>
      <c r="I98" s="7">
        <f>IF(H98-G98&gt;(365*5),1,0)</f>
        <v>1</v>
      </c>
      <c r="J98" s="6">
        <v>1</v>
      </c>
      <c r="K98" s="9" t="str">
        <f>IF($N98="USD",INDEX('Dólar Spot'!$C:$C,MATCH(Base!$G101,'Dólar Spot'!$A:$A,0)),"")</f>
        <v/>
      </c>
      <c r="L98" s="8">
        <v>1500000000</v>
      </c>
      <c r="M98" s="7">
        <f>IF(N98="USD",L98*K98/1000000,L98/1000000)</f>
        <v>1500</v>
      </c>
      <c r="N98" s="6" t="s">
        <v>347</v>
      </c>
      <c r="O98" s="9" t="str" cm="1">
        <f t="array" ref="O98">INDEX(Ratings!$B$2:$L$42,_xlfn.XMATCH(Base!E101,Ratings!$A$2:$A$42),_xlfn.XMATCH(YEAR(Base!G101),Ratings!$B$1:$L$1))</f>
        <v>NR</v>
      </c>
      <c r="P98">
        <f>IF(AND(O98&lt;&gt;"BBB-",O98&lt;&gt;"BBB",O98&lt;&gt;"BBB+"),0,1)</f>
        <v>0</v>
      </c>
      <c r="Q98" s="7">
        <f>INDEX('Bonds ANBIMA'!$F:$F,MATCH(Base!$B101,'Bonds ANBIMA'!$A:$A,0))</f>
        <v>2305.1490149560118</v>
      </c>
      <c r="R98" s="21">
        <f>INDEX('Bonds ANBIMA'!$H:$H,MATCH(Base!$B101,'Bonds ANBIMA'!$A:$A,0))</f>
        <v>0.7592592592592593</v>
      </c>
      <c r="S98" s="7">
        <f>INDEX('Debêntures ANBIMA'!$O:$O,MATCH(Base!$B101,'Debêntures ANBIMA'!$A:$A,0))</f>
        <v>173.79140893333334</v>
      </c>
      <c r="T98" s="24">
        <f>INDEX('Debêntures ANBIMA'!$P:$P,MATCH(Base!$B101,'Debêntures ANBIMA'!$A:$A,0))</f>
        <v>0.58460646271963723</v>
      </c>
    </row>
    <row r="99" spans="1:20" x14ac:dyDescent="0.35">
      <c r="A99">
        <f>YEAR(B99)</f>
        <v>2012</v>
      </c>
      <c r="B99" s="12">
        <f>DATE(YEAR(G99),MONTH(G99),DAY(1))</f>
        <v>40940</v>
      </c>
      <c r="C99">
        <f>IF(E99&lt;&gt;E98,C98+1,C98)</f>
        <v>10</v>
      </c>
      <c r="D99" s="6" t="s">
        <v>305</v>
      </c>
      <c r="E99" s="6" t="s">
        <v>52</v>
      </c>
      <c r="F99" s="6" t="s">
        <v>346</v>
      </c>
      <c r="G99" s="1">
        <v>40954</v>
      </c>
      <c r="H99" s="1">
        <v>42781</v>
      </c>
      <c r="I99" s="7">
        <f>IF(H99-G99&gt;(365*5),1,0)</f>
        <v>1</v>
      </c>
      <c r="J99" s="6">
        <v>0</v>
      </c>
      <c r="K99" s="9" t="str">
        <f>IF($N99="USD",INDEX('Dólar Spot'!$C:$C,MATCH(Base!$G102,'Dólar Spot'!$A:$A,0)),"")</f>
        <v/>
      </c>
      <c r="L99" s="8">
        <v>480000000</v>
      </c>
      <c r="M99" s="7">
        <f>IF(N99="USD",L99*K99/1000000,L99/1000000)</f>
        <v>480</v>
      </c>
      <c r="N99" s="6" t="s">
        <v>348</v>
      </c>
      <c r="O99" s="9" t="str" cm="1">
        <f t="array" ref="O99">INDEX(Ratings!$B$2:$L$42,_xlfn.XMATCH(Base!E102,Ratings!$A$2:$A$42),_xlfn.XMATCH(YEAR(Base!G102),Ratings!$B$1:$L$1))</f>
        <v>NR</v>
      </c>
      <c r="P99">
        <f>IF(AND(O99&lt;&gt;"BBB-",O99&lt;&gt;"BBB",O99&lt;&gt;"BBB+"),0,1)</f>
        <v>0</v>
      </c>
      <c r="Q99" s="7">
        <f>INDEX('Bonds ANBIMA'!$F:$F,MATCH(Base!$B102,'Bonds ANBIMA'!$A:$A,0))</f>
        <v>3007.521329813665</v>
      </c>
      <c r="R99" s="21">
        <f>INDEX('Bonds ANBIMA'!$H:$H,MATCH(Base!$B102,'Bonds ANBIMA'!$A:$A,0))</f>
        <v>0.85714285714285721</v>
      </c>
      <c r="S99" s="7">
        <f>INDEX('Debêntures ANBIMA'!$O:$O,MATCH(Base!$B102,'Debêntures ANBIMA'!$A:$A,0))</f>
        <v>174.95</v>
      </c>
      <c r="T99" s="24">
        <f>INDEX('Debêntures ANBIMA'!$P:$P,MATCH(Base!$B102,'Debêntures ANBIMA'!$A:$A,0))</f>
        <v>0.2814493865030675</v>
      </c>
    </row>
    <row r="100" spans="1:20" x14ac:dyDescent="0.35">
      <c r="A100">
        <f>YEAR(B100)</f>
        <v>2013</v>
      </c>
      <c r="B100" s="12">
        <f>DATE(YEAR(G100),MONTH(G100),DAY(1))</f>
        <v>41609</v>
      </c>
      <c r="C100">
        <f>IF(E100&lt;&gt;E99,C99+1,C99)</f>
        <v>10</v>
      </c>
      <c r="D100" s="6" t="s">
        <v>305</v>
      </c>
      <c r="E100" s="6" t="s">
        <v>52</v>
      </c>
      <c r="F100" s="6" t="s">
        <v>346</v>
      </c>
      <c r="G100" s="1">
        <v>41631</v>
      </c>
      <c r="H100" s="1">
        <v>42727</v>
      </c>
      <c r="I100" s="7">
        <f>IF(H100-G100&gt;(365*5),1,0)</f>
        <v>0</v>
      </c>
      <c r="J100" s="6">
        <v>0</v>
      </c>
      <c r="K100" s="9" t="str">
        <f>IF($N100="USD",INDEX('Dólar Spot'!$C:$C,MATCH(Base!$G103,'Dólar Spot'!$A:$A,0)),"")</f>
        <v/>
      </c>
      <c r="L100" s="8">
        <v>500000000</v>
      </c>
      <c r="M100" s="7">
        <f>IF(N100="USD",L100*K100/1000000,L100/1000000)</f>
        <v>500</v>
      </c>
      <c r="N100" s="6" t="s">
        <v>348</v>
      </c>
      <c r="O100" s="9" t="str" cm="1">
        <f t="array" ref="O100">INDEX(Ratings!$B$2:$L$42,_xlfn.XMATCH(Base!E103,Ratings!$A$2:$A$42),_xlfn.XMATCH(YEAR(Base!G103),Ratings!$B$1:$L$1))</f>
        <v>NR</v>
      </c>
      <c r="P100">
        <f>IF(AND(O100&lt;&gt;"BBB-",O100&lt;&gt;"BBB",O100&lt;&gt;"BBB+"),0,1)</f>
        <v>0</v>
      </c>
      <c r="Q100" s="7">
        <f>INDEX('Bonds ANBIMA'!$F:$F,MATCH(Base!$B103,'Bonds ANBIMA'!$A:$A,0))</f>
        <v>0</v>
      </c>
      <c r="R100" s="21">
        <f>INDEX('Bonds ANBIMA'!$H:$H,MATCH(Base!$B103,'Bonds ANBIMA'!$A:$A,0))</f>
        <v>0.77777777777777779</v>
      </c>
      <c r="S100" s="7">
        <f>INDEX('Debêntures ANBIMA'!$O:$O,MATCH(Base!$B103,'Debêntures ANBIMA'!$A:$A,0))</f>
        <v>349.91726772413796</v>
      </c>
      <c r="T100" s="24">
        <f>INDEX('Debêntures ANBIMA'!$P:$P,MATCH(Base!$B103,'Debêntures ANBIMA'!$A:$A,0))</f>
        <v>0.63876540206182508</v>
      </c>
    </row>
    <row r="101" spans="1:20" x14ac:dyDescent="0.35">
      <c r="A101">
        <f>YEAR(B101)</f>
        <v>2014</v>
      </c>
      <c r="B101" s="12">
        <f>DATE(YEAR(G101),MONTH(G101),DAY(1))</f>
        <v>41974</v>
      </c>
      <c r="C101">
        <f>IF(E101&lt;&gt;E100,C100+1,C100)</f>
        <v>10</v>
      </c>
      <c r="D101" s="6" t="s">
        <v>305</v>
      </c>
      <c r="E101" s="6" t="s">
        <v>52</v>
      </c>
      <c r="F101" s="6" t="s">
        <v>346</v>
      </c>
      <c r="G101" s="1">
        <v>41983</v>
      </c>
      <c r="H101" s="1">
        <v>43444</v>
      </c>
      <c r="I101" s="7">
        <f>IF(H101-G101&gt;(365*5),1,0)</f>
        <v>0</v>
      </c>
      <c r="J101" s="6">
        <v>0</v>
      </c>
      <c r="K101" s="9" t="str">
        <f>IF($N101="USD",INDEX('Dólar Spot'!$C:$C,MATCH(Base!$G104,'Dólar Spot'!$A:$A,0)),"")</f>
        <v/>
      </c>
      <c r="L101" s="8">
        <v>1400000000</v>
      </c>
      <c r="M101" s="7">
        <f>IF(N101="USD",L101*K101/1000000,L101/1000000)</f>
        <v>1400</v>
      </c>
      <c r="N101" s="6" t="s">
        <v>348</v>
      </c>
      <c r="O101" s="9" t="str" cm="1">
        <f t="array" ref="O101">INDEX(Ratings!$B$2:$L$42,_xlfn.XMATCH(Base!E104,Ratings!$A$2:$A$42),_xlfn.XMATCH(YEAR(Base!G104),Ratings!$B$1:$L$1))</f>
        <v>NR</v>
      </c>
      <c r="P101">
        <f>IF(AND(O101&lt;&gt;"BBB-",O101&lt;&gt;"BBB",O101&lt;&gt;"BBB+"),0,1)</f>
        <v>0</v>
      </c>
      <c r="Q101" s="7">
        <f>INDEX('Bonds ANBIMA'!$F:$F,MATCH(Base!$B104,'Bonds ANBIMA'!$A:$A,0))</f>
        <v>1382.0987169274538</v>
      </c>
      <c r="R101" s="21">
        <f>INDEX('Bonds ANBIMA'!$H:$H,MATCH(Base!$B104,'Bonds ANBIMA'!$A:$A,0))</f>
        <v>0.81690140845070425</v>
      </c>
      <c r="S101" s="7">
        <f>INDEX('Debêntures ANBIMA'!$O:$O,MATCH(Base!$B104,'Debêntures ANBIMA'!$A:$A,0))</f>
        <v>216.71153846153845</v>
      </c>
      <c r="T101" s="24">
        <f>INDEX('Debêntures ANBIMA'!$P:$P,MATCH(Base!$B104,'Debêntures ANBIMA'!$A:$A,0))</f>
        <v>0.91569793238086783</v>
      </c>
    </row>
    <row r="102" spans="1:20" x14ac:dyDescent="0.35">
      <c r="A102">
        <f>YEAR(B102)</f>
        <v>2015</v>
      </c>
      <c r="B102" s="12">
        <f>DATE(YEAR(G102),MONTH(G102),DAY(1))</f>
        <v>42186</v>
      </c>
      <c r="C102">
        <f>IF(E102&lt;&gt;E101,C101+1,C101)</f>
        <v>10</v>
      </c>
      <c r="D102" s="6" t="s">
        <v>305</v>
      </c>
      <c r="E102" s="6" t="s">
        <v>52</v>
      </c>
      <c r="F102" s="6" t="s">
        <v>346</v>
      </c>
      <c r="G102" s="1">
        <v>42200</v>
      </c>
      <c r="H102" s="1">
        <v>43296</v>
      </c>
      <c r="I102" s="7">
        <f>IF(H102-G102&gt;(365*5),1,0)</f>
        <v>0</v>
      </c>
      <c r="J102" s="6">
        <v>0</v>
      </c>
      <c r="K102" s="9" t="str">
        <f>IF($N102="USD",INDEX('Dólar Spot'!$C:$C,MATCH(Base!$G105,'Dólar Spot'!$A:$A,0)),"")</f>
        <v/>
      </c>
      <c r="L102" s="8">
        <v>972750000</v>
      </c>
      <c r="M102" s="7">
        <f>IF(N102="USD",L102*K102/1000000,L102/1000000)</f>
        <v>972.75</v>
      </c>
      <c r="N102" s="6" t="s">
        <v>348</v>
      </c>
      <c r="O102" s="9" t="str" cm="1">
        <f t="array" ref="O102">INDEX(Ratings!$B$2:$L$42,_xlfn.XMATCH(Base!E105,Ratings!$A$2:$A$42),_xlfn.XMATCH(YEAR(Base!G105),Ratings!$B$1:$L$1))</f>
        <v>NR</v>
      </c>
      <c r="P102">
        <f>IF(AND(O102&lt;&gt;"BBB-",O102&lt;&gt;"BBB",O102&lt;&gt;"BBB+"),0,1)</f>
        <v>0</v>
      </c>
      <c r="Q102" s="7">
        <f>INDEX('Bonds ANBIMA'!$F:$F,MATCH(Base!$B105,'Bonds ANBIMA'!$A:$A,0))</f>
        <v>3007.521329813665</v>
      </c>
      <c r="R102" s="21">
        <f>INDEX('Bonds ANBIMA'!$H:$H,MATCH(Base!$B105,'Bonds ANBIMA'!$A:$A,0))</f>
        <v>0.85714285714285721</v>
      </c>
      <c r="S102" s="7">
        <f>INDEX('Debêntures ANBIMA'!$O:$O,MATCH(Base!$B105,'Debêntures ANBIMA'!$A:$A,0))</f>
        <v>174.95</v>
      </c>
      <c r="T102" s="24">
        <f>INDEX('Debêntures ANBIMA'!$P:$P,MATCH(Base!$B105,'Debêntures ANBIMA'!$A:$A,0))</f>
        <v>0.2814493865030675</v>
      </c>
    </row>
    <row r="103" spans="1:20" x14ac:dyDescent="0.35">
      <c r="A103">
        <f>YEAR(B103)</f>
        <v>2016</v>
      </c>
      <c r="B103" s="12">
        <f>DATE(YEAR(G103),MONTH(G103),DAY(1))</f>
        <v>42705</v>
      </c>
      <c r="C103">
        <f>IF(E103&lt;&gt;E102,C102+1,C102)</f>
        <v>10</v>
      </c>
      <c r="D103" s="6" t="s">
        <v>305</v>
      </c>
      <c r="E103" s="6" t="s">
        <v>52</v>
      </c>
      <c r="F103" s="6" t="s">
        <v>346</v>
      </c>
      <c r="G103" s="1">
        <v>42727</v>
      </c>
      <c r="H103" s="1">
        <v>44553</v>
      </c>
      <c r="I103" s="7">
        <f>IF(H103-G103&gt;(365*5),1,0)</f>
        <v>1</v>
      </c>
      <c r="J103" s="6">
        <v>0</v>
      </c>
      <c r="K103" s="9" t="str">
        <f>IF($N103="USD",INDEX('Dólar Spot'!$C:$C,MATCH(Base!$G106,'Dólar Spot'!$A:$A,0)),"")</f>
        <v/>
      </c>
      <c r="L103" s="8">
        <v>2240000000</v>
      </c>
      <c r="M103" s="7">
        <f>IF(N103="USD",L103*K103/1000000,L103/1000000)</f>
        <v>2240</v>
      </c>
      <c r="N103" s="6" t="s">
        <v>348</v>
      </c>
      <c r="O103" s="9" t="str" cm="1">
        <f t="array" ref="O103">INDEX(Ratings!$B$2:$L$42,_xlfn.XMATCH(Base!E106,Ratings!$A$2:$A$42),_xlfn.XMATCH(YEAR(Base!G106),Ratings!$B$1:$L$1))</f>
        <v>NR</v>
      </c>
      <c r="P103">
        <f>IF(AND(O103&lt;&gt;"BBB-",O103&lt;&gt;"BBB",O103&lt;&gt;"BBB+"),0,1)</f>
        <v>0</v>
      </c>
      <c r="Q103" s="7">
        <f>INDEX('Bonds ANBIMA'!$F:$F,MATCH(Base!$B106,'Bonds ANBIMA'!$A:$A,0))</f>
        <v>1382.0987169274538</v>
      </c>
      <c r="R103" s="21">
        <f>INDEX('Bonds ANBIMA'!$H:$H,MATCH(Base!$B106,'Bonds ANBIMA'!$A:$A,0))</f>
        <v>0.81690140845070425</v>
      </c>
      <c r="S103" s="7">
        <f>INDEX('Debêntures ANBIMA'!$O:$O,MATCH(Base!$B106,'Debêntures ANBIMA'!$A:$A,0))</f>
        <v>216.71153846153845</v>
      </c>
      <c r="T103" s="24">
        <f>INDEX('Debêntures ANBIMA'!$P:$P,MATCH(Base!$B106,'Debêntures ANBIMA'!$A:$A,0))</f>
        <v>0.91569793238086783</v>
      </c>
    </row>
    <row r="104" spans="1:20" x14ac:dyDescent="0.35">
      <c r="A104">
        <f>YEAR(B104)</f>
        <v>2012</v>
      </c>
      <c r="B104" s="12">
        <f>DATE(YEAR(G104),MONTH(G104),DAY(1))</f>
        <v>40940</v>
      </c>
      <c r="C104">
        <f>IF(E104&lt;&gt;E103,C103+1,C103)</f>
        <v>10</v>
      </c>
      <c r="D104" s="6" t="s">
        <v>305</v>
      </c>
      <c r="E104" s="6" t="s">
        <v>52</v>
      </c>
      <c r="F104" s="6" t="s">
        <v>346</v>
      </c>
      <c r="G104" s="1">
        <v>40954</v>
      </c>
      <c r="H104" s="1">
        <v>43511</v>
      </c>
      <c r="I104" s="7">
        <f>IF(H104-G104&gt;(365*5),1,0)</f>
        <v>1</v>
      </c>
      <c r="J104" s="6">
        <v>0</v>
      </c>
      <c r="K104" s="9" t="str">
        <f>IF($N104="USD",INDEX('Dólar Spot'!$C:$C,MATCH(Base!$G107,'Dólar Spot'!$A:$A,0)),"")</f>
        <v/>
      </c>
      <c r="L104" s="8">
        <v>200000000</v>
      </c>
      <c r="M104" s="7">
        <f>IF(N104="USD",L104*K104/1000000,L104/1000000)</f>
        <v>200</v>
      </c>
      <c r="N104" s="6" t="s">
        <v>347</v>
      </c>
      <c r="O104" s="9" t="str" cm="1">
        <f t="array" ref="O104">INDEX(Ratings!$B$2:$L$42,_xlfn.XMATCH(Base!E107,Ratings!$A$2:$A$42),_xlfn.XMATCH(YEAR(Base!G107),Ratings!$B$1:$L$1))</f>
        <v>B+</v>
      </c>
      <c r="P104">
        <f>IF(AND(O104&lt;&gt;"BBB-",O104&lt;&gt;"BBB",O104&lt;&gt;"BBB+"),0,1)</f>
        <v>0</v>
      </c>
      <c r="Q104" s="7">
        <f>INDEX('Bonds ANBIMA'!$F:$F,MATCH(Base!$B107,'Bonds ANBIMA'!$A:$A,0))</f>
        <v>1535.9446666666665</v>
      </c>
      <c r="R104" s="21">
        <f>INDEX('Bonds ANBIMA'!$H:$H,MATCH(Base!$B107,'Bonds ANBIMA'!$A:$A,0))</f>
        <v>0.89473684210526316</v>
      </c>
      <c r="S104" s="7">
        <f>INDEX('Debêntures ANBIMA'!$O:$O,MATCH(Base!$B107,'Debêntures ANBIMA'!$A:$A,0))</f>
        <v>259.67190909090914</v>
      </c>
      <c r="T104" s="24">
        <f>INDEX('Debêntures ANBIMA'!$P:$P,MATCH(Base!$B107,'Debêntures ANBIMA'!$A:$A,0))</f>
        <v>0.36330056435990116</v>
      </c>
    </row>
    <row r="105" spans="1:20" x14ac:dyDescent="0.35">
      <c r="A105">
        <f>YEAR(B105)</f>
        <v>2015</v>
      </c>
      <c r="B105" s="12">
        <f>DATE(YEAR(G105),MONTH(G105),DAY(1))</f>
        <v>42186</v>
      </c>
      <c r="C105">
        <f>IF(E105&lt;&gt;E104,C104+1,C104)</f>
        <v>10</v>
      </c>
      <c r="D105" s="6" t="s">
        <v>305</v>
      </c>
      <c r="E105" s="6" t="s">
        <v>52</v>
      </c>
      <c r="F105" s="6" t="s">
        <v>346</v>
      </c>
      <c r="G105" s="1">
        <v>42200</v>
      </c>
      <c r="H105" s="1">
        <v>44027</v>
      </c>
      <c r="I105" s="7">
        <f>IF(H105-G105&gt;(365*5),1,0)</f>
        <v>1</v>
      </c>
      <c r="J105" s="6">
        <v>0</v>
      </c>
      <c r="K105" s="9" t="str">
        <f>IF($N105="USD",INDEX('Dólar Spot'!$C:$C,MATCH(Base!$G108,'Dólar Spot'!$A:$A,0)),"")</f>
        <v/>
      </c>
      <c r="L105" s="8">
        <v>27250000</v>
      </c>
      <c r="M105" s="7">
        <f>IF(N105="USD",L105*K105/1000000,L105/1000000)</f>
        <v>27.25</v>
      </c>
      <c r="N105" s="6" t="s">
        <v>347</v>
      </c>
      <c r="O105" s="9" t="str" cm="1">
        <f t="array" ref="O105">INDEX(Ratings!$B$2:$L$42,_xlfn.XMATCH(Base!E108,Ratings!$A$2:$A$42),_xlfn.XMATCH(YEAR(Base!G108),Ratings!$B$1:$L$1))</f>
        <v>B</v>
      </c>
      <c r="P105">
        <f>IF(AND(O105&lt;&gt;"BBB-",O105&lt;&gt;"BBB",O105&lt;&gt;"BBB+"),0,1)</f>
        <v>0</v>
      </c>
      <c r="Q105" s="7">
        <f>INDEX('Bonds ANBIMA'!$F:$F,MATCH(Base!$B108,'Bonds ANBIMA'!$A:$A,0))</f>
        <v>1914.0681818181818</v>
      </c>
      <c r="R105" s="21">
        <f>INDEX('Bonds ANBIMA'!$H:$H,MATCH(Base!$B108,'Bonds ANBIMA'!$A:$A,0))</f>
        <v>0.73699999999999999</v>
      </c>
      <c r="S105" s="7">
        <f>INDEX('Debêntures ANBIMA'!$O:$O,MATCH(Base!$B108,'Debêntures ANBIMA'!$A:$A,0))</f>
        <v>260.23234615384615</v>
      </c>
      <c r="T105" s="24">
        <f>INDEX('Debêntures ANBIMA'!$P:$P,MATCH(Base!$B108,'Debêntures ANBIMA'!$A:$A,0))</f>
        <v>0.70197854754297362</v>
      </c>
    </row>
    <row r="106" spans="1:20" x14ac:dyDescent="0.35">
      <c r="A106">
        <f>YEAR(B106)</f>
        <v>2012</v>
      </c>
      <c r="B106" s="12">
        <f>DATE(YEAR(G106),MONTH(G106),DAY(1))</f>
        <v>40940</v>
      </c>
      <c r="C106">
        <f>IF(E106&lt;&gt;E105,C105+1,C105)</f>
        <v>10</v>
      </c>
      <c r="D106" s="6" t="s">
        <v>305</v>
      </c>
      <c r="E106" s="6" t="s">
        <v>52</v>
      </c>
      <c r="F106" s="6" t="s">
        <v>346</v>
      </c>
      <c r="G106" s="1">
        <v>40954</v>
      </c>
      <c r="H106" s="1">
        <v>44607</v>
      </c>
      <c r="I106" s="7">
        <f>IF(H106-G106&gt;(365*5),1,0)</f>
        <v>1</v>
      </c>
      <c r="J106" s="6">
        <v>0</v>
      </c>
      <c r="K106" s="9" t="str">
        <f>IF($N106="USD",INDEX('Dólar Spot'!$C:$C,MATCH(Base!$G109,'Dólar Spot'!$A:$A,0)),"")</f>
        <v/>
      </c>
      <c r="L106" s="8">
        <v>670000000</v>
      </c>
      <c r="M106" s="7">
        <f>IF(N106="USD",L106*K106/1000000,L106/1000000)</f>
        <v>670</v>
      </c>
      <c r="N106" s="6" t="s">
        <v>347</v>
      </c>
      <c r="O106" s="9" t="str" cm="1">
        <f t="array" ref="O106">INDEX(Ratings!$B$2:$L$42,_xlfn.XMATCH(Base!E109,Ratings!$A$2:$A$42),_xlfn.XMATCH(YEAR(Base!G109),Ratings!$B$1:$L$1))</f>
        <v>BB-</v>
      </c>
      <c r="P106">
        <f>IF(AND(O106&lt;&gt;"BBB-",O106&lt;&gt;"BBB",O106&lt;&gt;"BBB+"),0,1)</f>
        <v>0</v>
      </c>
      <c r="Q106" s="7">
        <f>INDEX('Bonds ANBIMA'!$F:$F,MATCH(Base!$B109,'Bonds ANBIMA'!$A:$A,0))</f>
        <v>4544.8166666666657</v>
      </c>
      <c r="R106" s="21">
        <f>INDEX('Bonds ANBIMA'!$H:$H,MATCH(Base!$B109,'Bonds ANBIMA'!$A:$A,0))</f>
        <v>0.83333333333333337</v>
      </c>
      <c r="S106" s="7">
        <f>INDEX('Debêntures ANBIMA'!$O:$O,MATCH(Base!$B109,'Debêntures ANBIMA'!$A:$A,0))</f>
        <v>405.99201704000006</v>
      </c>
      <c r="T106" s="24">
        <f>INDEX('Debêntures ANBIMA'!$P:$P,MATCH(Base!$B109,'Debêntures ANBIMA'!$A:$A,0))</f>
        <v>0.92399320653021089</v>
      </c>
    </row>
    <row r="107" spans="1:20" x14ac:dyDescent="0.35">
      <c r="A107">
        <f>YEAR(B107)</f>
        <v>2017</v>
      </c>
      <c r="B107" s="12">
        <f>DATE(YEAR(G107),MONTH(G107),DAY(1))</f>
        <v>43070</v>
      </c>
      <c r="C107">
        <f>IF(E107&lt;&gt;E106,C106+1,C106)</f>
        <v>10</v>
      </c>
      <c r="D107" s="6" t="s">
        <v>53</v>
      </c>
      <c r="E107" s="6" t="s">
        <v>52</v>
      </c>
      <c r="F107" s="6" t="s">
        <v>233</v>
      </c>
      <c r="G107" s="1">
        <v>43074</v>
      </c>
      <c r="H107" s="1" t="s">
        <v>54</v>
      </c>
      <c r="I107" s="7">
        <f>IF(H107-G107&gt;(365*5),1,0)</f>
        <v>1</v>
      </c>
      <c r="J107" s="22">
        <v>0</v>
      </c>
      <c r="K107" s="9">
        <f>IF($N107="USD",INDEX('Dólar Spot'!$C:$C,MATCH(Base!$G91,'Dólar Spot'!$A:$A,0)),"")</f>
        <v>1.9594</v>
      </c>
      <c r="L107" s="8">
        <v>1000000000</v>
      </c>
      <c r="M107" s="7">
        <f>IF(N107="USD",L107*K107/1000000,L107/1000000)</f>
        <v>1959.4</v>
      </c>
      <c r="N107" s="6" t="s">
        <v>16</v>
      </c>
      <c r="O107" s="9" t="str" cm="1">
        <f t="array" ref="O107">INDEX(Ratings!$B$2:$L$42,_xlfn.XMATCH(Base!E91,Ratings!$A$2:$A$42),_xlfn.XMATCH(YEAR(Base!G91),Ratings!$B$1:$L$1))</f>
        <v>NR</v>
      </c>
      <c r="P107">
        <f>IF(AND(O107&lt;&gt;"BBB-",O107&lt;&gt;"BBB",O107&lt;&gt;"BBB+"),0,1)</f>
        <v>0</v>
      </c>
      <c r="Q107" s="7">
        <f>INDEX('Bonds ANBIMA'!$F:$F,MATCH(Base!$B91,'Bonds ANBIMA'!$A:$A,0))</f>
        <v>2090.3808851851854</v>
      </c>
      <c r="R107" s="21">
        <f>INDEX('Bonds ANBIMA'!$H:$H,MATCH(Base!$B91,'Bonds ANBIMA'!$A:$A,0))</f>
        <v>0.61224489795918369</v>
      </c>
      <c r="S107" s="7">
        <f>INDEX('Debêntures ANBIMA'!$O:$O,MATCH(Base!$B91,'Debêntures ANBIMA'!$A:$A,0))</f>
        <v>1130.6986956521739</v>
      </c>
      <c r="T107" s="24">
        <f>INDEX('Debêntures ANBIMA'!$P:$P,MATCH(Base!$B91,'Debêntures ANBIMA'!$A:$A,0))</f>
        <v>0.98692612916907474</v>
      </c>
    </row>
    <row r="108" spans="1:20" x14ac:dyDescent="0.35">
      <c r="A108">
        <f>YEAR(B108)</f>
        <v>2018</v>
      </c>
      <c r="B108" s="12">
        <f>DATE(YEAR(G108),MONTH(G108),DAY(1))</f>
        <v>43282</v>
      </c>
      <c r="C108">
        <f>IF(E108&lt;&gt;E107,C107+1,C107)</f>
        <v>10</v>
      </c>
      <c r="D108" s="6" t="s">
        <v>53</v>
      </c>
      <c r="E108" s="6" t="s">
        <v>52</v>
      </c>
      <c r="F108" s="6" t="s">
        <v>233</v>
      </c>
      <c r="G108" s="1">
        <v>43299</v>
      </c>
      <c r="H108" s="1" t="s">
        <v>54</v>
      </c>
      <c r="I108" s="7">
        <f>IF(H108-G108&gt;(365*5),1,0)</f>
        <v>1</v>
      </c>
      <c r="J108" s="22">
        <v>1</v>
      </c>
      <c r="K108" s="9">
        <f>IF($N108="USD",INDEX('Dólar Spot'!$C:$C,MATCH(Base!$G92,'Dólar Spot'!$A:$A,0)),"")</f>
        <v>3.8696999999999999</v>
      </c>
      <c r="L108" s="8">
        <v>500000000</v>
      </c>
      <c r="M108" s="7">
        <f>IF(N108="USD",L108*K108/1000000,L108/1000000)</f>
        <v>1934.85</v>
      </c>
      <c r="N108" s="6" t="s">
        <v>16</v>
      </c>
      <c r="O108" s="9" t="str" cm="1">
        <f t="array" ref="O108">INDEX(Ratings!$B$2:$L$42,_xlfn.XMATCH(Base!E92,Ratings!$A$2:$A$42),_xlfn.XMATCH(YEAR(Base!G92),Ratings!$B$1:$L$1))</f>
        <v>NR</v>
      </c>
      <c r="P108">
        <f>IF(AND(O108&lt;&gt;"BBB-",O108&lt;&gt;"BBB",O108&lt;&gt;"BBB+"),0,1)</f>
        <v>0</v>
      </c>
      <c r="Q108" s="7">
        <f>INDEX('Bonds ANBIMA'!$F:$F,MATCH(Base!$B92,'Bonds ANBIMA'!$A:$A,0))</f>
        <v>3612.2781149350658</v>
      </c>
      <c r="R108" s="21">
        <f>INDEX('Bonds ANBIMA'!$H:$H,MATCH(Base!$B92,'Bonds ANBIMA'!$A:$A,0))</f>
        <v>0.85714285714285721</v>
      </c>
      <c r="S108" s="7">
        <f>INDEX('Debêntures ANBIMA'!$O:$O,MATCH(Base!$B92,'Debêntures ANBIMA'!$A:$A,0))</f>
        <v>470.84792592592595</v>
      </c>
      <c r="T108" s="24">
        <f>INDEX('Debêntures ANBIMA'!$P:$P,MATCH(Base!$B92,'Debêntures ANBIMA'!$A:$A,0))</f>
        <v>0.60419199534178314</v>
      </c>
    </row>
    <row r="109" spans="1:20" x14ac:dyDescent="0.35">
      <c r="A109">
        <f>YEAR(B109)</f>
        <v>2019</v>
      </c>
      <c r="B109" s="12">
        <f>DATE(YEAR(G109),MONTH(G109),DAY(1))</f>
        <v>43556</v>
      </c>
      <c r="C109">
        <f>IF(E109&lt;&gt;E108,C108+1,C108)</f>
        <v>11</v>
      </c>
      <c r="D109" s="6" t="s">
        <v>312</v>
      </c>
      <c r="E109" s="6" t="s">
        <v>81</v>
      </c>
      <c r="F109" s="6" t="s">
        <v>346</v>
      </c>
      <c r="G109" s="1">
        <v>43580</v>
      </c>
      <c r="H109" s="1">
        <v>44676</v>
      </c>
      <c r="I109" s="7">
        <f>IF(H109-G109&gt;(365*5),1,0)</f>
        <v>0</v>
      </c>
      <c r="J109" s="22">
        <v>1</v>
      </c>
      <c r="K109" s="9" t="str">
        <f>IF($N109="USD",INDEX('Dólar Spot'!$C:$C,MATCH(Base!$G145,'Dólar Spot'!$A:$A,0)),"")</f>
        <v/>
      </c>
      <c r="L109" s="8">
        <v>1100000000</v>
      </c>
      <c r="M109" s="7">
        <f>IF(N109="USD",L109*K109/1000000,L109/1000000)</f>
        <v>1100</v>
      </c>
      <c r="N109" s="6" t="s">
        <v>348</v>
      </c>
      <c r="O109" s="9" t="str" cm="1">
        <f t="array" ref="O109">INDEX(Ratings!$B$2:$L$42,_xlfn.XMATCH(Base!E145,Ratings!$A$2:$A$42),_xlfn.XMATCH(YEAR(Base!G145),Ratings!$B$1:$L$1))</f>
        <v>B</v>
      </c>
      <c r="P109">
        <f>IF(AND(O109&lt;&gt;"BBB-",O109&lt;&gt;"BBB",O109&lt;&gt;"BBB+"),0,1)</f>
        <v>0</v>
      </c>
      <c r="Q109" s="7">
        <f>INDEX('Bonds ANBIMA'!$F:$F,MATCH(Base!$B145,'Bonds ANBIMA'!$A:$A,0))</f>
        <v>2361.6956521739135</v>
      </c>
      <c r="R109" s="21">
        <f>INDEX('Bonds ANBIMA'!$H:$H,MATCH(Base!$B145,'Bonds ANBIMA'!$A:$A,0))</f>
        <v>0.8125</v>
      </c>
      <c r="S109" s="7">
        <f>INDEX('Debêntures ANBIMA'!$O:$O,MATCH(Base!$B145,'Debêntures ANBIMA'!$A:$A,0))</f>
        <v>277.1682222222222</v>
      </c>
      <c r="T109" s="24">
        <f>INDEX('Debêntures ANBIMA'!$P:$P,MATCH(Base!$B145,'Debêntures ANBIMA'!$A:$A,0))</f>
        <v>0.88986216208179325</v>
      </c>
    </row>
    <row r="110" spans="1:20" x14ac:dyDescent="0.35">
      <c r="A110">
        <f>YEAR(B110)</f>
        <v>2021</v>
      </c>
      <c r="B110" s="12">
        <f>DATE(YEAR(G110),MONTH(G110),DAY(1))</f>
        <v>44287</v>
      </c>
      <c r="C110">
        <f>IF(E110&lt;&gt;E109,C109+1,C109)</f>
        <v>11</v>
      </c>
      <c r="D110" s="6" t="s">
        <v>312</v>
      </c>
      <c r="E110" s="6" t="s">
        <v>81</v>
      </c>
      <c r="F110" s="6" t="s">
        <v>346</v>
      </c>
      <c r="G110" s="1">
        <v>44301</v>
      </c>
      <c r="H110" s="1">
        <v>46127</v>
      </c>
      <c r="I110" s="7">
        <f>IF(H110-G110&gt;(365*5),1,0)</f>
        <v>1</v>
      </c>
      <c r="J110" s="22">
        <v>1</v>
      </c>
      <c r="K110" s="9" t="str">
        <f>IF($N110="USD",INDEX('Dólar Spot'!$C:$C,MATCH(Base!$G146,'Dólar Spot'!$A:$A,0)),"")</f>
        <v/>
      </c>
      <c r="L110" s="8">
        <v>1200000000</v>
      </c>
      <c r="M110" s="7">
        <f>IF(N110="USD",L110*K110/1000000,L110/1000000)</f>
        <v>1200</v>
      </c>
      <c r="N110" s="6" t="s">
        <v>348</v>
      </c>
      <c r="O110" s="9" t="str" cm="1">
        <f t="array" ref="O110">INDEX(Ratings!$B$2:$L$42,_xlfn.XMATCH(Base!E146,Ratings!$A$2:$A$42),_xlfn.XMATCH(YEAR(Base!G146),Ratings!$B$1:$L$1))</f>
        <v>BBB-</v>
      </c>
      <c r="P110">
        <f>IF(AND(O110&lt;&gt;"BBB-",O110&lt;&gt;"BBB",O110&lt;&gt;"BBB+"),0,1)</f>
        <v>1</v>
      </c>
      <c r="Q110" s="7">
        <f>INDEX('Bonds ANBIMA'!$F:$F,MATCH(Base!$B146,'Bonds ANBIMA'!$A:$A,0))</f>
        <v>1382.0987169274538</v>
      </c>
      <c r="R110" s="21">
        <f>INDEX('Bonds ANBIMA'!$H:$H,MATCH(Base!$B146,'Bonds ANBIMA'!$A:$A,0))</f>
        <v>0.81690140845070425</v>
      </c>
      <c r="S110" s="7">
        <f>INDEX('Debêntures ANBIMA'!$O:$O,MATCH(Base!$B146,'Debêntures ANBIMA'!$A:$A,0))</f>
        <v>216.71153846153845</v>
      </c>
      <c r="T110" s="24">
        <f>INDEX('Debêntures ANBIMA'!$P:$P,MATCH(Base!$B146,'Debêntures ANBIMA'!$A:$A,0))</f>
        <v>0.91569793238086783</v>
      </c>
    </row>
    <row r="111" spans="1:20" x14ac:dyDescent="0.35">
      <c r="A111">
        <f>YEAR(B111)</f>
        <v>2019</v>
      </c>
      <c r="B111" s="12">
        <f>DATE(YEAR(G111),MONTH(G111),DAY(1))</f>
        <v>43556</v>
      </c>
      <c r="C111">
        <f>IF(E111&lt;&gt;E110,C110+1,C110)</f>
        <v>11</v>
      </c>
      <c r="D111" s="6" t="s">
        <v>312</v>
      </c>
      <c r="E111" s="6" t="s">
        <v>81</v>
      </c>
      <c r="F111" s="6" t="s">
        <v>346</v>
      </c>
      <c r="G111" s="1">
        <v>43580</v>
      </c>
      <c r="H111" s="1">
        <v>45407</v>
      </c>
      <c r="I111" s="7">
        <f>IF(H111-G111&gt;(365*5),1,0)</f>
        <v>1</v>
      </c>
      <c r="J111" s="22">
        <v>1</v>
      </c>
      <c r="K111" s="9" t="str">
        <f>IF($N111="USD",INDEX('Dólar Spot'!$C:$C,MATCH(Base!$G147,'Dólar Spot'!$A:$A,0)),"")</f>
        <v/>
      </c>
      <c r="L111" s="8">
        <v>2200000000</v>
      </c>
      <c r="M111" s="7">
        <f>IF(N111="USD",L111*K111/1000000,L111/1000000)</f>
        <v>2200</v>
      </c>
      <c r="N111" s="6" t="s">
        <v>348</v>
      </c>
      <c r="O111" s="9" t="str" cm="1">
        <f t="array" ref="O111">INDEX(Ratings!$B$2:$L$42,_xlfn.XMATCH(Base!E147,Ratings!$A$2:$A$42),_xlfn.XMATCH(YEAR(Base!G147),Ratings!$B$1:$L$1))</f>
        <v>B</v>
      </c>
      <c r="P111">
        <f>IF(AND(O111&lt;&gt;"BBB-",O111&lt;&gt;"BBB",O111&lt;&gt;"BBB+"),0,1)</f>
        <v>0</v>
      </c>
      <c r="Q111" s="7">
        <f>INDEX('Bonds ANBIMA'!$F:$F,MATCH(Base!$B147,'Bonds ANBIMA'!$A:$A,0))</f>
        <v>4544.8166666666657</v>
      </c>
      <c r="R111" s="21">
        <f>INDEX('Bonds ANBIMA'!$H:$H,MATCH(Base!$B147,'Bonds ANBIMA'!$A:$A,0))</f>
        <v>0.83333333333333337</v>
      </c>
      <c r="S111" s="7">
        <f>INDEX('Debêntures ANBIMA'!$O:$O,MATCH(Base!$B147,'Debêntures ANBIMA'!$A:$A,0))</f>
        <v>405.99201704000006</v>
      </c>
      <c r="T111" s="24">
        <f>INDEX('Debêntures ANBIMA'!$P:$P,MATCH(Base!$B147,'Debêntures ANBIMA'!$A:$A,0))</f>
        <v>0.92399320653021089</v>
      </c>
    </row>
    <row r="112" spans="1:20" x14ac:dyDescent="0.35">
      <c r="A112">
        <f>YEAR(B112)</f>
        <v>2021</v>
      </c>
      <c r="B112" s="12">
        <f>DATE(YEAR(G112),MONTH(G112),DAY(1))</f>
        <v>44287</v>
      </c>
      <c r="C112">
        <f>IF(E112&lt;&gt;E111,C111+1,C111)</f>
        <v>11</v>
      </c>
      <c r="D112" s="6" t="s">
        <v>312</v>
      </c>
      <c r="E112" s="6" t="s">
        <v>81</v>
      </c>
      <c r="F112" s="6" t="s">
        <v>346</v>
      </c>
      <c r="G112" s="1">
        <v>44301</v>
      </c>
      <c r="H112" s="1">
        <v>47953</v>
      </c>
      <c r="I112" s="7">
        <f>IF(H112-G112&gt;(365*5),1,0)</f>
        <v>1</v>
      </c>
      <c r="J112" s="22">
        <v>1</v>
      </c>
      <c r="K112" s="9" t="str">
        <f>IF($N112="USD",INDEX('Dólar Spot'!$C:$C,MATCH(Base!$G148,'Dólar Spot'!$A:$A,0)),"")</f>
        <v/>
      </c>
      <c r="L112" s="8">
        <v>1500000000</v>
      </c>
      <c r="M112" s="7">
        <f>IF(N112="USD",L112*K112/1000000,L112/1000000)</f>
        <v>1500</v>
      </c>
      <c r="N112" s="6" t="s">
        <v>347</v>
      </c>
      <c r="O112" s="9" t="str" cm="1">
        <f t="array" ref="O112">INDEX(Ratings!$B$2:$L$42,_xlfn.XMATCH(Base!E148,Ratings!$A$2:$A$42),_xlfn.XMATCH(YEAR(Base!G148),Ratings!$B$1:$L$1))</f>
        <v>BB-</v>
      </c>
      <c r="P112">
        <f>IF(AND(O112&lt;&gt;"BBB-",O112&lt;&gt;"BBB",O112&lt;&gt;"BBB+"),0,1)</f>
        <v>0</v>
      </c>
      <c r="Q112" s="7">
        <f>INDEX('Bonds ANBIMA'!$F:$F,MATCH(Base!$B148,'Bonds ANBIMA'!$A:$A,0))</f>
        <v>2639.5452380952379</v>
      </c>
      <c r="R112" s="21">
        <f>INDEX('Bonds ANBIMA'!$H:$H,MATCH(Base!$B148,'Bonds ANBIMA'!$A:$A,0))</f>
        <v>0.75</v>
      </c>
      <c r="S112" s="7">
        <f>INDEX('Debêntures ANBIMA'!$O:$O,MATCH(Base!$B148,'Debêntures ANBIMA'!$A:$A,0))</f>
        <v>333.94772061764706</v>
      </c>
      <c r="T112" s="24">
        <f>INDEX('Debêntures ANBIMA'!$P:$P,MATCH(Base!$B148,'Debêntures ANBIMA'!$A:$A,0))</f>
        <v>0.70859317355091667</v>
      </c>
    </row>
    <row r="113" spans="1:20" x14ac:dyDescent="0.35">
      <c r="A113">
        <f>YEAR(B113)</f>
        <v>2019</v>
      </c>
      <c r="B113" s="12">
        <f>DATE(YEAR(G113),MONTH(G113),DAY(1))</f>
        <v>43556</v>
      </c>
      <c r="C113">
        <f>IF(E113&lt;&gt;E112,C112+1,C112)</f>
        <v>11</v>
      </c>
      <c r="D113" s="6" t="s">
        <v>312</v>
      </c>
      <c r="E113" s="6" t="s">
        <v>81</v>
      </c>
      <c r="F113" s="6" t="s">
        <v>346</v>
      </c>
      <c r="G113" s="1">
        <v>43580</v>
      </c>
      <c r="H113" s="1">
        <v>46137</v>
      </c>
      <c r="I113" s="7">
        <f>IF(H113-G113&gt;(365*5),1,0)</f>
        <v>1</v>
      </c>
      <c r="J113" s="22">
        <v>1</v>
      </c>
      <c r="K113" s="9" t="str">
        <f>IF($N113="USD",INDEX('Dólar Spot'!$C:$C,MATCH(Base!$G149,'Dólar Spot'!$A:$A,0)),"")</f>
        <v/>
      </c>
      <c r="L113" s="8">
        <v>1000000000</v>
      </c>
      <c r="M113" s="7">
        <f>IF(N113="USD",L113*K113/1000000,L113/1000000)</f>
        <v>1000</v>
      </c>
      <c r="N113" s="6" t="s">
        <v>348</v>
      </c>
      <c r="O113" s="9" t="str" cm="1">
        <f t="array" ref="O113">INDEX(Ratings!$B$2:$L$42,_xlfn.XMATCH(Base!E149,Ratings!$A$2:$A$42),_xlfn.XMATCH(YEAR(Base!G149),Ratings!$B$1:$L$1))</f>
        <v>NR</v>
      </c>
      <c r="P113">
        <f>IF(AND(O113&lt;&gt;"BBB-",O113&lt;&gt;"BBB",O113&lt;&gt;"BBB+"),0,1)</f>
        <v>0</v>
      </c>
      <c r="Q113" s="7">
        <f>INDEX('Bonds ANBIMA'!$F:$F,MATCH(Base!$B149,'Bonds ANBIMA'!$A:$A,0))</f>
        <v>1671.3360756756758</v>
      </c>
      <c r="R113" s="21">
        <f>INDEX('Bonds ANBIMA'!$H:$H,MATCH(Base!$B149,'Bonds ANBIMA'!$A:$A,0))</f>
        <v>0.81690140845070425</v>
      </c>
      <c r="S113" s="7">
        <f>INDEX('Debêntures ANBIMA'!$O:$O,MATCH(Base!$B149,'Debêntures ANBIMA'!$A:$A,0))</f>
        <v>384.58057142857143</v>
      </c>
      <c r="T113" s="24">
        <f>INDEX('Debêntures ANBIMA'!$P:$P,MATCH(Base!$B149,'Debêntures ANBIMA'!$A:$A,0))</f>
        <v>0.8593261800811931</v>
      </c>
    </row>
    <row r="114" spans="1:20" x14ac:dyDescent="0.35">
      <c r="A114">
        <f>YEAR(B114)</f>
        <v>2019</v>
      </c>
      <c r="B114" s="12">
        <f>DATE(YEAR(G114),MONTH(G114),DAY(1))</f>
        <v>43556</v>
      </c>
      <c r="C114">
        <f>IF(E114&lt;&gt;E113,C113+1,C113)</f>
        <v>11</v>
      </c>
      <c r="D114" s="6" t="s">
        <v>312</v>
      </c>
      <c r="E114" s="6" t="s">
        <v>81</v>
      </c>
      <c r="F114" s="6" t="s">
        <v>346</v>
      </c>
      <c r="G114" s="1">
        <v>43580</v>
      </c>
      <c r="H114" s="1">
        <v>47253</v>
      </c>
      <c r="I114" s="7">
        <f>IF(H114-G114&gt;(365*5),1,0)</f>
        <v>1</v>
      </c>
      <c r="J114" s="22">
        <v>1</v>
      </c>
      <c r="K114" s="9" t="str">
        <f>IF($N114="USD",INDEX('Dólar Spot'!$C:$C,MATCH(Base!$G150,'Dólar Spot'!$A:$A,0)),"")</f>
        <v/>
      </c>
      <c r="L114" s="8">
        <v>700000000</v>
      </c>
      <c r="M114" s="7">
        <f>IF(N114="USD",L114*K114/1000000,L114/1000000)</f>
        <v>700</v>
      </c>
      <c r="N114" s="6" t="s">
        <v>347</v>
      </c>
      <c r="O114" s="9" t="str" cm="1">
        <f t="array" ref="O114">INDEX(Ratings!$B$2:$L$42,_xlfn.XMATCH(Base!E150,Ratings!$A$2:$A$42),_xlfn.XMATCH(YEAR(Base!G150),Ratings!$B$1:$L$1))</f>
        <v>B+</v>
      </c>
      <c r="P114">
        <f>IF(AND(O114&lt;&gt;"BBB-",O114&lt;&gt;"BBB",O114&lt;&gt;"BBB+"),0,1)</f>
        <v>0</v>
      </c>
      <c r="Q114" s="7">
        <f>INDEX('Bonds ANBIMA'!$F:$F,MATCH(Base!$B150,'Bonds ANBIMA'!$A:$A,0))</f>
        <v>3423.8772727272722</v>
      </c>
      <c r="R114" s="21">
        <f>INDEX('Bonds ANBIMA'!$H:$H,MATCH(Base!$B150,'Bonds ANBIMA'!$A:$A,0))</f>
        <v>0.5714285714285714</v>
      </c>
      <c r="S114" s="7">
        <f>INDEX('Debêntures ANBIMA'!$O:$O,MATCH(Base!$B150,'Debêntures ANBIMA'!$A:$A,0))</f>
        <v>313.18954558823532</v>
      </c>
      <c r="T114" s="24">
        <f>INDEX('Debêntures ANBIMA'!$P:$P,MATCH(Base!$B150,'Debêntures ANBIMA'!$A:$A,0))</f>
        <v>0.82799998804889829</v>
      </c>
    </row>
    <row r="115" spans="1:20" x14ac:dyDescent="0.35">
      <c r="A115">
        <f>YEAR(B115)</f>
        <v>2020</v>
      </c>
      <c r="B115" s="12">
        <f>DATE(YEAR(G115),MONTH(G115),DAY(1))</f>
        <v>43862</v>
      </c>
      <c r="C115">
        <f>IF(E115&lt;&gt;E114,C114+1,C114)</f>
        <v>11</v>
      </c>
      <c r="D115" s="6" t="s">
        <v>82</v>
      </c>
      <c r="E115" s="6" t="s">
        <v>81</v>
      </c>
      <c r="F115" s="6" t="s">
        <v>233</v>
      </c>
      <c r="G115" s="1">
        <v>43865</v>
      </c>
      <c r="H115" s="1" t="s">
        <v>83</v>
      </c>
      <c r="I115" s="7">
        <f>IF(H115-G115&gt;(365*5),1,0)</f>
        <v>1</v>
      </c>
      <c r="J115" s="22">
        <v>1</v>
      </c>
      <c r="K115" s="9">
        <f>IF($N115="USD",INDEX('Dólar Spot'!$C:$C,MATCH(Base!$G142,'Dólar Spot'!$A:$A,0)),"")</f>
        <v>5.0635000000000003</v>
      </c>
      <c r="L115" s="8">
        <v>750000000</v>
      </c>
      <c r="M115" s="7">
        <f>IF(N115="USD",L115*K115/1000000,L115/1000000)</f>
        <v>3797.6250000000005</v>
      </c>
      <c r="N115" s="6" t="s">
        <v>16</v>
      </c>
      <c r="O115" s="9" t="str" cm="1">
        <f t="array" ref="O115">INDEX(Ratings!$B$2:$L$42,_xlfn.XMATCH(Base!E142,Ratings!$A$2:$A$42),_xlfn.XMATCH(YEAR(Base!G142),Ratings!$B$1:$L$1))</f>
        <v>BB</v>
      </c>
      <c r="P115">
        <f>IF(AND(O115&lt;&gt;"BBB-",O115&lt;&gt;"BBB",O115&lt;&gt;"BBB+"),0,1)</f>
        <v>0</v>
      </c>
      <c r="Q115" s="7">
        <f>INDEX('Bonds ANBIMA'!$F:$F,MATCH(Base!$B142,'Bonds ANBIMA'!$A:$A,0))</f>
        <v>4407.4187499999998</v>
      </c>
      <c r="R115" s="21">
        <f>INDEX('Bonds ANBIMA'!$H:$H,MATCH(Base!$B142,'Bonds ANBIMA'!$A:$A,0))</f>
        <v>0.75</v>
      </c>
      <c r="S115" s="7">
        <f>INDEX('Debêntures ANBIMA'!$O:$O,MATCH(Base!$B142,'Debêntures ANBIMA'!$A:$A,0))</f>
        <v>370.50270588235298</v>
      </c>
      <c r="T115" s="24">
        <f>INDEX('Debêntures ANBIMA'!$P:$P,MATCH(Base!$B142,'Debêntures ANBIMA'!$A:$A,0))</f>
        <v>0.71227947317539486</v>
      </c>
    </row>
    <row r="116" spans="1:20" x14ac:dyDescent="0.35">
      <c r="A116">
        <f>YEAR(B116)</f>
        <v>2020</v>
      </c>
      <c r="B116" s="12">
        <f>DATE(YEAR(G116),MONTH(G116),DAY(1))</f>
        <v>43862</v>
      </c>
      <c r="C116">
        <f>IF(E116&lt;&gt;E115,C115+1,C115)</f>
        <v>11</v>
      </c>
      <c r="D116" s="6" t="s">
        <v>82</v>
      </c>
      <c r="E116" s="6" t="s">
        <v>81</v>
      </c>
      <c r="F116" s="6" t="s">
        <v>233</v>
      </c>
      <c r="G116" s="1">
        <v>43865</v>
      </c>
      <c r="H116" s="1" t="s">
        <v>84</v>
      </c>
      <c r="I116" s="7">
        <f>IF(H116-G116&gt;(365*5),1,0)</f>
        <v>1</v>
      </c>
      <c r="J116" s="22">
        <v>1</v>
      </c>
      <c r="K116" s="9">
        <f>IF($N116="USD",INDEX('Dólar Spot'!$C:$C,MATCH(Base!$G143,'Dólar Spot'!$A:$A,0)),"")</f>
        <v>3.9218999999999999</v>
      </c>
      <c r="L116" s="8">
        <v>500000000</v>
      </c>
      <c r="M116" s="7">
        <f>IF(N116="USD",L116*K116/1000000,L116/1000000)</f>
        <v>1960.95</v>
      </c>
      <c r="N116" s="6" t="s">
        <v>16</v>
      </c>
      <c r="O116" s="9" t="str" cm="1">
        <f t="array" ref="O116">INDEX(Ratings!$B$2:$L$42,_xlfn.XMATCH(Base!E143,Ratings!$A$2:$A$42),_xlfn.XMATCH(YEAR(Base!G143),Ratings!$B$1:$L$1))</f>
        <v>B</v>
      </c>
      <c r="P116">
        <f>IF(AND(O116&lt;&gt;"BBB-",O116&lt;&gt;"BBB",O116&lt;&gt;"BBB+"),0,1)</f>
        <v>0</v>
      </c>
      <c r="Q116" s="7">
        <f>INDEX('Bonds ANBIMA'!$F:$F,MATCH(Base!$B143,'Bonds ANBIMA'!$A:$A,0))</f>
        <v>4544.8166666666657</v>
      </c>
      <c r="R116" s="21">
        <f>INDEX('Bonds ANBIMA'!$H:$H,MATCH(Base!$B143,'Bonds ANBIMA'!$A:$A,0))</f>
        <v>0.83333333333333337</v>
      </c>
      <c r="S116" s="7">
        <f>INDEX('Debêntures ANBIMA'!$O:$O,MATCH(Base!$B143,'Debêntures ANBIMA'!$A:$A,0))</f>
        <v>405.99201704000006</v>
      </c>
      <c r="T116" s="24">
        <f>INDEX('Debêntures ANBIMA'!$P:$P,MATCH(Base!$B143,'Debêntures ANBIMA'!$A:$A,0))</f>
        <v>0.92399320653021089</v>
      </c>
    </row>
    <row r="117" spans="1:20" x14ac:dyDescent="0.35">
      <c r="A117">
        <f>YEAR(B117)</f>
        <v>2011</v>
      </c>
      <c r="B117" s="12">
        <f>DATE(YEAR(G117),MONTH(G117),DAY(1))</f>
        <v>40817</v>
      </c>
      <c r="C117">
        <f>IF(E117&lt;&gt;E116,C116+1,C116)</f>
        <v>11</v>
      </c>
      <c r="D117" s="6" t="s">
        <v>82</v>
      </c>
      <c r="E117" s="6" t="s">
        <v>81</v>
      </c>
      <c r="F117" s="6" t="s">
        <v>233</v>
      </c>
      <c r="G117" s="1">
        <v>40843</v>
      </c>
      <c r="H117" s="1" t="s">
        <v>85</v>
      </c>
      <c r="I117" s="7">
        <f>IF(H117-G117&gt;(365*5),1,0)</f>
        <v>1</v>
      </c>
      <c r="J117" s="22">
        <v>1</v>
      </c>
      <c r="K117" s="9">
        <f>IF($N117="USD",INDEX('Dólar Spot'!$C:$C,MATCH(Base!$G144,'Dólar Spot'!$A:$A,0)),"")</f>
        <v>3.2814999999999999</v>
      </c>
      <c r="L117" s="8">
        <v>1750000000</v>
      </c>
      <c r="M117" s="7">
        <f>IF(N117="USD",L117*K117/1000000,L117/1000000)</f>
        <v>5742.625</v>
      </c>
      <c r="N117" s="6" t="s">
        <v>16</v>
      </c>
      <c r="O117" s="9" t="str" cm="1">
        <f t="array" ref="O117">INDEX(Ratings!$B$2:$L$42,_xlfn.XMATCH(Base!E144,Ratings!$A$2:$A$42),_xlfn.XMATCH(YEAR(Base!G144),Ratings!$B$1:$L$1))</f>
        <v>B-</v>
      </c>
      <c r="P117">
        <f>IF(AND(O117&lt;&gt;"BBB-",O117&lt;&gt;"BBB",O117&lt;&gt;"BBB+"),0,1)</f>
        <v>0</v>
      </c>
      <c r="Q117" s="7">
        <f>INDEX('Bonds ANBIMA'!$F:$F,MATCH(Base!$B144,'Bonds ANBIMA'!$A:$A,0))</f>
        <v>2689.9516111111116</v>
      </c>
      <c r="R117" s="21">
        <f>INDEX('Bonds ANBIMA'!$H:$H,MATCH(Base!$B144,'Bonds ANBIMA'!$A:$A,0))</f>
        <v>0.75</v>
      </c>
      <c r="S117" s="7">
        <f>INDEX('Debêntures ANBIMA'!$O:$O,MATCH(Base!$B144,'Debêntures ANBIMA'!$A:$A,0))</f>
        <v>671.78941666666663</v>
      </c>
      <c r="T117" s="24">
        <f>INDEX('Debêntures ANBIMA'!$P:$P,MATCH(Base!$B144,'Debêntures ANBIMA'!$A:$A,0))</f>
        <v>0.77734496969042943</v>
      </c>
    </row>
    <row r="118" spans="1:20" x14ac:dyDescent="0.35">
      <c r="A118">
        <f>YEAR(B118)</f>
        <v>2014</v>
      </c>
      <c r="B118" s="12">
        <f>DATE(YEAR(G118),MONTH(G118),DAY(1))</f>
        <v>41791</v>
      </c>
      <c r="C118">
        <f>IF(E118&lt;&gt;E117,C117+1,C117)</f>
        <v>12</v>
      </c>
      <c r="D118" s="6" t="s">
        <v>56</v>
      </c>
      <c r="E118" s="6" t="s">
        <v>55</v>
      </c>
      <c r="F118" s="6" t="s">
        <v>233</v>
      </c>
      <c r="G118" s="1">
        <v>41807</v>
      </c>
      <c r="H118" s="1" t="s">
        <v>57</v>
      </c>
      <c r="I118" s="7">
        <f>IF(H118-G118&gt;(365*5),1,0)</f>
        <v>1</v>
      </c>
      <c r="J118" s="22">
        <v>0</v>
      </c>
      <c r="K118" s="9">
        <f>IF($N118="USD",INDEX('Dólar Spot'!$C:$C,MATCH(Base!$G111,'Dólar Spot'!$A:$A,0)),"")</f>
        <v>3.9719000000000002</v>
      </c>
      <c r="L118" s="8">
        <v>400000000</v>
      </c>
      <c r="M118" s="7">
        <f>IF(N118="USD",L118*K118/1000000,L118/1000000)</f>
        <v>1588.76</v>
      </c>
      <c r="N118" s="6" t="s">
        <v>16</v>
      </c>
      <c r="O118" s="9" t="str" cm="1">
        <f t="array" ref="O118">INDEX(Ratings!$B$2:$L$42,_xlfn.XMATCH(Base!E111,Ratings!$A$2:$A$42),_xlfn.XMATCH(YEAR(Base!G111),Ratings!$B$1:$L$1))</f>
        <v>BB-</v>
      </c>
      <c r="P118">
        <f>IF(AND(O118&lt;&gt;"BBB-",O118&lt;&gt;"BBB",O118&lt;&gt;"BBB+"),0,1)</f>
        <v>0</v>
      </c>
      <c r="Q118" s="7">
        <f>INDEX('Bonds ANBIMA'!$F:$F,MATCH(Base!$B111,'Bonds ANBIMA'!$A:$A,0))</f>
        <v>4544.8166666666657</v>
      </c>
      <c r="R118" s="21">
        <f>INDEX('Bonds ANBIMA'!$H:$H,MATCH(Base!$B111,'Bonds ANBIMA'!$A:$A,0))</f>
        <v>0.83333333333333337</v>
      </c>
      <c r="S118" s="7">
        <f>INDEX('Debêntures ANBIMA'!$O:$O,MATCH(Base!$B111,'Debêntures ANBIMA'!$A:$A,0))</f>
        <v>405.99201704000006</v>
      </c>
      <c r="T118" s="24">
        <f>INDEX('Debêntures ANBIMA'!$P:$P,MATCH(Base!$B111,'Debêntures ANBIMA'!$A:$A,0))</f>
        <v>0.92399320653021089</v>
      </c>
    </row>
    <row r="119" spans="1:20" x14ac:dyDescent="0.35">
      <c r="A119">
        <f>YEAR(B119)</f>
        <v>2015</v>
      </c>
      <c r="B119" s="12">
        <f>DATE(YEAR(G119),MONTH(G119),DAY(1))</f>
        <v>42095</v>
      </c>
      <c r="C119">
        <f>IF(E119&lt;&gt;E118,C118+1,C118)</f>
        <v>13</v>
      </c>
      <c r="D119" s="6" t="s">
        <v>308</v>
      </c>
      <c r="E119" s="6" t="s">
        <v>58</v>
      </c>
      <c r="F119" s="6" t="s">
        <v>346</v>
      </c>
      <c r="G119" s="1">
        <v>42107</v>
      </c>
      <c r="H119" s="1">
        <v>43203</v>
      </c>
      <c r="I119" s="7">
        <f>IF(H119-G119&gt;(365*5),1,0)</f>
        <v>0</v>
      </c>
      <c r="J119" s="6">
        <v>1</v>
      </c>
      <c r="K119" s="9" t="str">
        <f>IF($N119="USD",INDEX('Dólar Spot'!$C:$C,MATCH(Base!$G115,'Dólar Spot'!$A:$A,0)),"")</f>
        <v/>
      </c>
      <c r="L119" s="8">
        <v>4600000000</v>
      </c>
      <c r="M119" s="7">
        <f>IF(N119="USD",L119*K119/1000000,L119/1000000)</f>
        <v>4600</v>
      </c>
      <c r="N119" s="6" t="s">
        <v>348</v>
      </c>
      <c r="O119" s="9" t="str" cm="1">
        <f t="array" ref="O119">INDEX(Ratings!$B$2:$L$42,_xlfn.XMATCH(Base!E115,Ratings!$A$2:$A$42),_xlfn.XMATCH(YEAR(Base!G115),Ratings!$B$1:$L$1))</f>
        <v>BB-</v>
      </c>
      <c r="P119">
        <f>IF(AND(O119&lt;&gt;"BBB-",O119&lt;&gt;"BBB",O119&lt;&gt;"BBB+"),0,1)</f>
        <v>0</v>
      </c>
      <c r="Q119" s="7">
        <f>INDEX('Bonds ANBIMA'!$F:$F,MATCH(Base!$B115,'Bonds ANBIMA'!$A:$A,0))</f>
        <v>3472.3288888888887</v>
      </c>
      <c r="R119" s="21">
        <f>INDEX('Bonds ANBIMA'!$H:$H,MATCH(Base!$B115,'Bonds ANBIMA'!$A:$A,0))</f>
        <v>0.75</v>
      </c>
      <c r="S119" s="7">
        <f>INDEX('Debêntures ANBIMA'!$O:$O,MATCH(Base!$B115,'Debêntures ANBIMA'!$A:$A,0))</f>
        <v>180.88750000000002</v>
      </c>
      <c r="T119" s="24">
        <f>INDEX('Debêntures ANBIMA'!$P:$P,MATCH(Base!$B115,'Debêntures ANBIMA'!$A:$A,0))</f>
        <v>0.60583194503424476</v>
      </c>
    </row>
    <row r="120" spans="1:20" x14ac:dyDescent="0.35">
      <c r="A120">
        <f>YEAR(B120)</f>
        <v>2019</v>
      </c>
      <c r="B120" s="12">
        <f>DATE(YEAR(G120),MONTH(G120),DAY(1))</f>
        <v>43617</v>
      </c>
      <c r="C120">
        <f>IF(E120&lt;&gt;E119,C119+1,C119)</f>
        <v>13</v>
      </c>
      <c r="D120" s="6" t="s">
        <v>308</v>
      </c>
      <c r="E120" s="6" t="s">
        <v>58</v>
      </c>
      <c r="F120" s="6" t="s">
        <v>346</v>
      </c>
      <c r="G120" s="1">
        <v>43634</v>
      </c>
      <c r="H120" s="1">
        <v>44412</v>
      </c>
      <c r="I120" s="7">
        <f>IF(H120-G120&gt;(365*5),1,0)</f>
        <v>0</v>
      </c>
      <c r="J120" s="6">
        <v>1</v>
      </c>
      <c r="K120" s="9" t="str">
        <f>IF($N120="USD",INDEX('Dólar Spot'!$C:$C,MATCH(Base!$G116,'Dólar Spot'!$A:$A,0)),"")</f>
        <v/>
      </c>
      <c r="L120" s="8">
        <v>3000000000</v>
      </c>
      <c r="M120" s="7">
        <f>IF(N120="USD",L120*K120/1000000,L120/1000000)</f>
        <v>3000</v>
      </c>
      <c r="N120" s="6" t="s">
        <v>348</v>
      </c>
      <c r="O120" s="9" t="str" cm="1">
        <f t="array" ref="O120">INDEX(Ratings!$B$2:$L$42,_xlfn.XMATCH(Base!E116,Ratings!$A$2:$A$42),_xlfn.XMATCH(YEAR(Base!G116),Ratings!$B$1:$L$1))</f>
        <v>BB-</v>
      </c>
      <c r="P120">
        <f>IF(AND(O120&lt;&gt;"BBB-",O120&lt;&gt;"BBB",O120&lt;&gt;"BBB+"),0,1)</f>
        <v>0</v>
      </c>
      <c r="Q120" s="7">
        <f>INDEX('Bonds ANBIMA'!$F:$F,MATCH(Base!$B116,'Bonds ANBIMA'!$A:$A,0))</f>
        <v>3472.3288888888887</v>
      </c>
      <c r="R120" s="21">
        <f>INDEX('Bonds ANBIMA'!$H:$H,MATCH(Base!$B116,'Bonds ANBIMA'!$A:$A,0))</f>
        <v>0.75</v>
      </c>
      <c r="S120" s="7">
        <f>INDEX('Debêntures ANBIMA'!$O:$O,MATCH(Base!$B116,'Debêntures ANBIMA'!$A:$A,0))</f>
        <v>180.88750000000002</v>
      </c>
      <c r="T120" s="24">
        <f>INDEX('Debêntures ANBIMA'!$P:$P,MATCH(Base!$B116,'Debêntures ANBIMA'!$A:$A,0))</f>
        <v>0.60583194503424476</v>
      </c>
    </row>
    <row r="121" spans="1:20" x14ac:dyDescent="0.35">
      <c r="A121">
        <f>YEAR(B121)</f>
        <v>2012</v>
      </c>
      <c r="B121" s="12">
        <f>DATE(YEAR(G121),MONTH(G121),DAY(1))</f>
        <v>41214</v>
      </c>
      <c r="C121">
        <f>IF(E121&lt;&gt;E120,C120+1,C120)</f>
        <v>13</v>
      </c>
      <c r="D121" s="6" t="s">
        <v>59</v>
      </c>
      <c r="E121" s="6" t="s">
        <v>58</v>
      </c>
      <c r="F121" s="6" t="s">
        <v>233</v>
      </c>
      <c r="G121" s="1">
        <v>41229</v>
      </c>
      <c r="H121" s="1" t="s">
        <v>60</v>
      </c>
      <c r="I121" s="7">
        <f>IF(H121-G121&gt;(365*5),1,0)</f>
        <v>1</v>
      </c>
      <c r="J121" s="22">
        <v>0</v>
      </c>
      <c r="K121" s="9">
        <f>IF($N121="USD",INDEX('Dólar Spot'!$C:$C,MATCH(Base!$G113,'Dólar Spot'!$A:$A,0)),"")</f>
        <v>3.9719000000000002</v>
      </c>
      <c r="L121" s="8">
        <v>470000000</v>
      </c>
      <c r="M121" s="7">
        <f>IF(N121="USD",L121*K121/1000000,L121/1000000)</f>
        <v>1866.7929999999999</v>
      </c>
      <c r="N121" s="6" t="s">
        <v>16</v>
      </c>
      <c r="O121" s="9" t="str" cm="1">
        <f t="array" ref="O121">INDEX(Ratings!$B$2:$L$42,_xlfn.XMATCH(Base!E113,Ratings!$A$2:$A$42),_xlfn.XMATCH(YEAR(Base!G113),Ratings!$B$1:$L$1))</f>
        <v>BB-</v>
      </c>
      <c r="P121">
        <f>IF(AND(O121&lt;&gt;"BBB-",O121&lt;&gt;"BBB",O121&lt;&gt;"BBB+"),0,1)</f>
        <v>0</v>
      </c>
      <c r="Q121" s="7">
        <f>INDEX('Bonds ANBIMA'!$F:$F,MATCH(Base!$B113,'Bonds ANBIMA'!$A:$A,0))</f>
        <v>4544.8166666666657</v>
      </c>
      <c r="R121" s="21">
        <f>INDEX('Bonds ANBIMA'!$H:$H,MATCH(Base!$B113,'Bonds ANBIMA'!$A:$A,0))</f>
        <v>0.83333333333333337</v>
      </c>
      <c r="S121" s="7">
        <f>INDEX('Debêntures ANBIMA'!$O:$O,MATCH(Base!$B113,'Debêntures ANBIMA'!$A:$A,0))</f>
        <v>405.99201704000006</v>
      </c>
      <c r="T121" s="24">
        <f>INDEX('Debêntures ANBIMA'!$P:$P,MATCH(Base!$B113,'Debêntures ANBIMA'!$A:$A,0))</f>
        <v>0.92399320653021089</v>
      </c>
    </row>
    <row r="122" spans="1:20" x14ac:dyDescent="0.35">
      <c r="A122">
        <f>YEAR(B122)</f>
        <v>2012</v>
      </c>
      <c r="B122" s="12">
        <f>DATE(YEAR(G122),MONTH(G122),DAY(1))</f>
        <v>41214</v>
      </c>
      <c r="C122">
        <f>IF(E122&lt;&gt;E121,C121+1,C121)</f>
        <v>13</v>
      </c>
      <c r="D122" s="6" t="s">
        <v>61</v>
      </c>
      <c r="E122" s="6" t="s">
        <v>58</v>
      </c>
      <c r="F122" s="6" t="s">
        <v>233</v>
      </c>
      <c r="G122" s="1">
        <v>41229</v>
      </c>
      <c r="H122" s="1" t="s">
        <v>60</v>
      </c>
      <c r="I122" s="7">
        <f>IF(H122-G122&gt;(365*5),1,0)</f>
        <v>1</v>
      </c>
      <c r="J122" s="22">
        <v>0</v>
      </c>
      <c r="K122" s="9">
        <f>IF($N122="USD",INDEX('Dólar Spot'!$C:$C,MATCH(Base!$G114,'Dólar Spot'!$A:$A,0)),"")</f>
        <v>3.9719000000000002</v>
      </c>
      <c r="L122" s="8">
        <v>405000000</v>
      </c>
      <c r="M122" s="7">
        <f>IF(N122="USD",L122*K122/1000000,L122/1000000)</f>
        <v>1608.6195</v>
      </c>
      <c r="N122" s="6" t="s">
        <v>16</v>
      </c>
      <c r="O122" s="9" t="str" cm="1">
        <f t="array" ref="O122">INDEX(Ratings!$B$2:$L$42,_xlfn.XMATCH(Base!E114,Ratings!$A$2:$A$42),_xlfn.XMATCH(YEAR(Base!G114),Ratings!$B$1:$L$1))</f>
        <v>BB-</v>
      </c>
      <c r="P122">
        <f>IF(AND(O122&lt;&gt;"BBB-",O122&lt;&gt;"BBB",O122&lt;&gt;"BBB+"),0,1)</f>
        <v>0</v>
      </c>
      <c r="Q122" s="7">
        <f>INDEX('Bonds ANBIMA'!$F:$F,MATCH(Base!$B114,'Bonds ANBIMA'!$A:$A,0))</f>
        <v>4544.8166666666657</v>
      </c>
      <c r="R122" s="21">
        <f>INDEX('Bonds ANBIMA'!$H:$H,MATCH(Base!$B114,'Bonds ANBIMA'!$A:$A,0))</f>
        <v>0.83333333333333337</v>
      </c>
      <c r="S122" s="7">
        <f>INDEX('Debêntures ANBIMA'!$O:$O,MATCH(Base!$B114,'Debêntures ANBIMA'!$A:$A,0))</f>
        <v>405.99201704000006</v>
      </c>
      <c r="T122" s="24">
        <f>INDEX('Debêntures ANBIMA'!$P:$P,MATCH(Base!$B114,'Debêntures ANBIMA'!$A:$A,0))</f>
        <v>0.92399320653021089</v>
      </c>
    </row>
    <row r="123" spans="1:20" x14ac:dyDescent="0.35">
      <c r="A123">
        <f>YEAR(B123)</f>
        <v>2021</v>
      </c>
      <c r="B123" s="12">
        <f>DATE(YEAR(G123),MONTH(G123),DAY(1))</f>
        <v>44531</v>
      </c>
      <c r="C123">
        <f>IF(E123&lt;&gt;E122,C122+1,C122)</f>
        <v>14</v>
      </c>
      <c r="D123" s="6" t="s">
        <v>307</v>
      </c>
      <c r="E123" s="6" t="s">
        <v>55</v>
      </c>
      <c r="F123" s="6" t="s">
        <v>346</v>
      </c>
      <c r="G123" s="1">
        <v>44545</v>
      </c>
      <c r="H123" s="1">
        <v>47284</v>
      </c>
      <c r="I123" s="7">
        <f>IF(H123-G123&gt;(365*5),1,0)</f>
        <v>1</v>
      </c>
      <c r="J123" s="6">
        <v>1</v>
      </c>
      <c r="K123" s="9" t="str">
        <f>IF($N123="USD",INDEX('Dólar Spot'!$C:$C,MATCH(Base!$G112,'Dólar Spot'!$A:$A,0)),"")</f>
        <v/>
      </c>
      <c r="L123" s="8">
        <v>230000000</v>
      </c>
      <c r="M123" s="7">
        <f>IF(N123="USD",L123*K123/1000000,L123/1000000)</f>
        <v>230</v>
      </c>
      <c r="N123" s="6" t="s">
        <v>348</v>
      </c>
      <c r="O123" s="9" t="str" cm="1">
        <f t="array" ref="O123">INDEX(Ratings!$B$2:$L$42,_xlfn.XMATCH(Base!E112,Ratings!$A$2:$A$42),_xlfn.XMATCH(YEAR(Base!G112),Ratings!$B$1:$L$1))</f>
        <v>BB-</v>
      </c>
      <c r="P123">
        <f>IF(AND(O123&lt;&gt;"BBB-",O123&lt;&gt;"BBB",O123&lt;&gt;"BBB+"),0,1)</f>
        <v>0</v>
      </c>
      <c r="Q123" s="7">
        <f>INDEX('Bonds ANBIMA'!$F:$F,MATCH(Base!$B112,'Bonds ANBIMA'!$A:$A,0))</f>
        <v>0</v>
      </c>
      <c r="R123" s="21">
        <f>INDEX('Bonds ANBIMA'!$H:$H,MATCH(Base!$B112,'Bonds ANBIMA'!$A:$A,0))</f>
        <v>0.83333333333333337</v>
      </c>
      <c r="S123" s="7">
        <f>INDEX('Debêntures ANBIMA'!$O:$O,MATCH(Base!$B112,'Debêntures ANBIMA'!$A:$A,0))</f>
        <v>416.84068888888891</v>
      </c>
      <c r="T123" s="24">
        <f>INDEX('Debêntures ANBIMA'!$P:$P,MATCH(Base!$B112,'Debêntures ANBIMA'!$A:$A,0))</f>
        <v>0.8175482670039157</v>
      </c>
    </row>
    <row r="124" spans="1:20" x14ac:dyDescent="0.35">
      <c r="A124">
        <f>YEAR(B124)</f>
        <v>2017</v>
      </c>
      <c r="B124" s="12">
        <f>DATE(YEAR(G124),MONTH(G124),DAY(1))</f>
        <v>42826</v>
      </c>
      <c r="C124">
        <f>IF(E124&lt;&gt;E123,C123+1,C123)</f>
        <v>15</v>
      </c>
      <c r="D124" s="6" t="s">
        <v>306</v>
      </c>
      <c r="E124" s="6" t="s">
        <v>52</v>
      </c>
      <c r="F124" s="6" t="s">
        <v>346</v>
      </c>
      <c r="G124" s="1">
        <v>42847</v>
      </c>
      <c r="H124" s="1">
        <v>43577</v>
      </c>
      <c r="I124" s="7">
        <f>IF(H124-G124&gt;(365*5),1,0)</f>
        <v>0</v>
      </c>
      <c r="J124" s="6">
        <v>0</v>
      </c>
      <c r="K124" s="9" t="str">
        <f>IF($N124="USD",INDEX('Dólar Spot'!$C:$C,MATCH(Base!$G110,'Dólar Spot'!$A:$A,0)),"")</f>
        <v/>
      </c>
      <c r="L124" s="8">
        <v>27000000</v>
      </c>
      <c r="M124" s="7">
        <f>IF(N124="USD",L124*K124/1000000,L124/1000000)</f>
        <v>27</v>
      </c>
      <c r="N124" s="6" t="s">
        <v>348</v>
      </c>
      <c r="O124" s="9" t="str" cm="1">
        <f t="array" ref="O124">INDEX(Ratings!$B$2:$L$42,_xlfn.XMATCH(Base!E110,Ratings!$A$2:$A$42),_xlfn.XMATCH(YEAR(Base!G110),Ratings!$B$1:$L$1))</f>
        <v>BB-</v>
      </c>
      <c r="P124">
        <f>IF(AND(O124&lt;&gt;"BBB-",O124&lt;&gt;"BBB",O124&lt;&gt;"BBB+"),0,1)</f>
        <v>0</v>
      </c>
      <c r="Q124" s="7">
        <f>INDEX('Bonds ANBIMA'!$F:$F,MATCH(Base!$B110,'Bonds ANBIMA'!$A:$A,0))</f>
        <v>0</v>
      </c>
      <c r="R124" s="21">
        <f>INDEX('Bonds ANBIMA'!$H:$H,MATCH(Base!$B110,'Bonds ANBIMA'!$A:$A,0))</f>
        <v>0.83333333333333337</v>
      </c>
      <c r="S124" s="7">
        <f>INDEX('Debêntures ANBIMA'!$O:$O,MATCH(Base!$B110,'Debêntures ANBIMA'!$A:$A,0))</f>
        <v>416.84068888888891</v>
      </c>
      <c r="T124" s="24">
        <f>INDEX('Debêntures ANBIMA'!$P:$P,MATCH(Base!$B110,'Debêntures ANBIMA'!$A:$A,0))</f>
        <v>0.8175482670039157</v>
      </c>
    </row>
    <row r="125" spans="1:20" x14ac:dyDescent="0.35">
      <c r="A125">
        <f>YEAR(B125)</f>
        <v>2014</v>
      </c>
      <c r="B125" s="12">
        <f>DATE(YEAR(G125),MONTH(G125),DAY(1))</f>
        <v>41913</v>
      </c>
      <c r="C125">
        <f>IF(E125&lt;&gt;E124,C124+1,C124)</f>
        <v>16</v>
      </c>
      <c r="D125" s="6" t="s">
        <v>332</v>
      </c>
      <c r="E125" s="6" t="s">
        <v>187</v>
      </c>
      <c r="F125" s="6" t="s">
        <v>346</v>
      </c>
      <c r="G125" s="1">
        <v>41943</v>
      </c>
      <c r="H125" s="1">
        <v>46572</v>
      </c>
      <c r="I125" s="7">
        <f>IF(H125-G125&gt;(365*5),1,0)</f>
        <v>1</v>
      </c>
      <c r="J125" s="22">
        <v>1</v>
      </c>
      <c r="K125" s="9" t="str">
        <f>IF($N125="USD",INDEX('Dólar Spot'!$C:$C,MATCH(Base!$G386,'Dólar Spot'!$A:$A,0)),"")</f>
        <v/>
      </c>
      <c r="L125" s="8">
        <v>200000000</v>
      </c>
      <c r="M125" s="7">
        <f>IF(N125="USD",L125*K125/1000000,L125/1000000)</f>
        <v>200</v>
      </c>
      <c r="N125" s="6" t="s">
        <v>348</v>
      </c>
      <c r="O125" s="9" t="str" cm="1">
        <f t="array" ref="O125">INDEX(Ratings!$B$2:$L$42,_xlfn.XMATCH(Base!E386,Ratings!$A$2:$A$42),_xlfn.XMATCH(YEAR(Base!G386),Ratings!$B$1:$L$1))</f>
        <v>BBB</v>
      </c>
      <c r="P125">
        <f>IF(AND(O125&lt;&gt;"BBB-",O125&lt;&gt;"BBB",O125&lt;&gt;"BBB+"),0,1)</f>
        <v>1</v>
      </c>
      <c r="Q125" s="7">
        <f>INDEX('Bonds ANBIMA'!$F:$F,MATCH(Base!$B386,'Bonds ANBIMA'!$A:$A,0))</f>
        <v>2155.6445777777776</v>
      </c>
      <c r="R125" s="21">
        <f>INDEX('Bonds ANBIMA'!$H:$H,MATCH(Base!$B386,'Bonds ANBIMA'!$A:$A,0))</f>
        <v>0.61224489795918369</v>
      </c>
      <c r="S125" s="7">
        <f>INDEX('Debêntures ANBIMA'!$O:$O,MATCH(Base!$B386,'Debêntures ANBIMA'!$A:$A,0))</f>
        <v>246.57692307692307</v>
      </c>
      <c r="T125" s="24">
        <f>INDEX('Debêntures ANBIMA'!$P:$P,MATCH(Base!$B386,'Debêntures ANBIMA'!$A:$A,0))</f>
        <v>0.40960848541569173</v>
      </c>
    </row>
    <row r="126" spans="1:20" x14ac:dyDescent="0.35">
      <c r="A126">
        <f>YEAR(B126)</f>
        <v>2017</v>
      </c>
      <c r="B126" s="12">
        <f>DATE(YEAR(G126),MONTH(G126),DAY(1))</f>
        <v>42979</v>
      </c>
      <c r="C126">
        <f>IF(E126&lt;&gt;E125,C125+1,C125)</f>
        <v>17</v>
      </c>
      <c r="D126" s="6" t="s">
        <v>63</v>
      </c>
      <c r="E126" s="6" t="s">
        <v>62</v>
      </c>
      <c r="F126" s="6" t="s">
        <v>233</v>
      </c>
      <c r="G126" s="1">
        <v>42998</v>
      </c>
      <c r="H126" s="1" t="s">
        <v>64</v>
      </c>
      <c r="I126" s="7">
        <f>IF(H126-G126&gt;(365*5),1,0)</f>
        <v>1</v>
      </c>
      <c r="J126" s="22">
        <v>1</v>
      </c>
      <c r="K126" s="9">
        <f>IF($N126="USD",INDEX('Dólar Spot'!$C:$C,MATCH(Base!$G117,'Dólar Spot'!$A:$A,0)),"")</f>
        <v>1.7316</v>
      </c>
      <c r="L126" s="8">
        <v>203636000</v>
      </c>
      <c r="M126" s="7">
        <f>IF(N126="USD",L126*K126/1000000,L126/1000000)</f>
        <v>352.61609760000005</v>
      </c>
      <c r="N126" s="6" t="s">
        <v>16</v>
      </c>
      <c r="O126" s="9" t="str" cm="1">
        <f t="array" ref="O126">INDEX(Ratings!$B$2:$L$42,_xlfn.XMATCH(Base!E117,Ratings!$A$2:$A$42),_xlfn.XMATCH(YEAR(Base!G117),Ratings!$B$1:$L$1))</f>
        <v>BBB</v>
      </c>
      <c r="P126">
        <f>IF(AND(O126&lt;&gt;"BBB-",O126&lt;&gt;"BBB",O126&lt;&gt;"BBB+"),0,1)</f>
        <v>1</v>
      </c>
      <c r="Q126" s="7">
        <f>INDEX('Bonds ANBIMA'!$F:$F,MATCH(Base!$B117,'Bonds ANBIMA'!$A:$A,0))</f>
        <v>1573.284262307692</v>
      </c>
      <c r="R126" s="21">
        <f>INDEX('Bonds ANBIMA'!$H:$H,MATCH(Base!$B117,'Bonds ANBIMA'!$A:$A,0))</f>
        <v>0.5862068965517242</v>
      </c>
      <c r="S126" s="7">
        <f>INDEX('Debêntures ANBIMA'!$O:$O,MATCH(Base!$B117,'Debêntures ANBIMA'!$A:$A,0))</f>
        <v>164.61538461538461</v>
      </c>
      <c r="T126" s="24">
        <f>INDEX('Debêntures ANBIMA'!$P:$P,MATCH(Base!$B117,'Debêntures ANBIMA'!$A:$A,0))</f>
        <v>0.8411214953271029</v>
      </c>
    </row>
    <row r="127" spans="1:20" x14ac:dyDescent="0.35">
      <c r="A127">
        <f>YEAR(B127)</f>
        <v>2016</v>
      </c>
      <c r="B127" s="12">
        <f>DATE(YEAR(G127),MONTH(G127),DAY(1))</f>
        <v>42522</v>
      </c>
      <c r="C127">
        <f>IF(E127&lt;&gt;E126,C126+1,C126)</f>
        <v>17</v>
      </c>
      <c r="D127" s="6" t="s">
        <v>65</v>
      </c>
      <c r="E127" s="6" t="s">
        <v>62</v>
      </c>
      <c r="F127" s="6" t="s">
        <v>233</v>
      </c>
      <c r="G127" s="1">
        <v>42541</v>
      </c>
      <c r="H127" s="1" t="s">
        <v>66</v>
      </c>
      <c r="I127" s="7">
        <f>IF(H127-G127&gt;(365*5),1,0)</f>
        <v>1</v>
      </c>
      <c r="J127" s="22">
        <v>1</v>
      </c>
      <c r="K127" s="9">
        <f>IF($N127="USD",INDEX('Dólar Spot'!$C:$C,MATCH(Base!$G118,'Dólar Spot'!$A:$A,0)),"")</f>
        <v>2.2480000000000002</v>
      </c>
      <c r="L127" s="8">
        <v>500000000</v>
      </c>
      <c r="M127" s="7">
        <f>IF(N127="USD",L127*K127/1000000,L127/1000000)</f>
        <v>1124</v>
      </c>
      <c r="N127" s="6" t="s">
        <v>16</v>
      </c>
      <c r="O127" s="9" t="str" cm="1">
        <f t="array" ref="O127">INDEX(Ratings!$B$2:$L$42,_xlfn.XMATCH(Base!E118,Ratings!$A$2:$A$42),_xlfn.XMATCH(YEAR(Base!G118),Ratings!$B$1:$L$1))</f>
        <v>BBB</v>
      </c>
      <c r="P127">
        <f>IF(AND(O127&lt;&gt;"BBB-",O127&lt;&gt;"BBB",O127&lt;&gt;"BBB+"),0,1)</f>
        <v>1</v>
      </c>
      <c r="Q127" s="7">
        <f>INDEX('Bonds ANBIMA'!$F:$F,MATCH(Base!$B118,'Bonds ANBIMA'!$A:$A,0))</f>
        <v>1952.3304406451612</v>
      </c>
      <c r="R127" s="21">
        <f>INDEX('Bonds ANBIMA'!$H:$H,MATCH(Base!$B118,'Bonds ANBIMA'!$A:$A,0))</f>
        <v>0.7592592592592593</v>
      </c>
      <c r="S127" s="7">
        <f>INDEX('Debêntures ANBIMA'!$O:$O,MATCH(Base!$B118,'Debêntures ANBIMA'!$A:$A,0))</f>
        <v>1225.43</v>
      </c>
      <c r="T127" s="24">
        <f>INDEX('Debêntures ANBIMA'!$P:$P,MATCH(Base!$B118,'Debêntures ANBIMA'!$A:$A,0))</f>
        <v>0.93229370867656214</v>
      </c>
    </row>
    <row r="128" spans="1:20" x14ac:dyDescent="0.35">
      <c r="A128">
        <f>YEAR(B128)</f>
        <v>2013</v>
      </c>
      <c r="B128" s="12">
        <f>DATE(YEAR(G128),MONTH(G128),DAY(1))</f>
        <v>41334</v>
      </c>
      <c r="C128">
        <f>IF(E128&lt;&gt;E127,C127+1,C127)</f>
        <v>17</v>
      </c>
      <c r="D128" s="6" t="s">
        <v>65</v>
      </c>
      <c r="E128" s="6" t="s">
        <v>62</v>
      </c>
      <c r="F128" s="6" t="s">
        <v>233</v>
      </c>
      <c r="G128" s="1">
        <v>41347</v>
      </c>
      <c r="H128" s="1" t="s">
        <v>67</v>
      </c>
      <c r="I128" s="7">
        <f>IF(H128-G128&gt;(365*5),1,0)</f>
        <v>1</v>
      </c>
      <c r="J128" s="22">
        <v>1</v>
      </c>
      <c r="K128" s="9">
        <f>IF($N128="USD",INDEX('Dólar Spot'!$C:$C,MATCH(Base!$G119,'Dólar Spot'!$A:$A,0)),"")</f>
        <v>3.1004999999999998</v>
      </c>
      <c r="L128" s="8">
        <v>500000000</v>
      </c>
      <c r="M128" s="7">
        <f>IF(N128="USD",L128*K128/1000000,L128/1000000)</f>
        <v>1550.25</v>
      </c>
      <c r="N128" s="6" t="s">
        <v>16</v>
      </c>
      <c r="O128" s="9" t="str" cm="1">
        <f t="array" ref="O128">INDEX(Ratings!$B$2:$L$42,_xlfn.XMATCH(Base!E119,Ratings!$A$2:$A$42),_xlfn.XMATCH(YEAR(Base!G119),Ratings!$B$1:$L$1))</f>
        <v>BBB+</v>
      </c>
      <c r="P128">
        <f>IF(AND(O128&lt;&gt;"BBB-",O128&lt;&gt;"BBB",O128&lt;&gt;"BBB+"),0,1)</f>
        <v>1</v>
      </c>
      <c r="Q128" s="7">
        <f>INDEX('Bonds ANBIMA'!$F:$F,MATCH(Base!$B119,'Bonds ANBIMA'!$A:$A,0))</f>
        <v>2839.6104478571428</v>
      </c>
      <c r="R128" s="21">
        <f>INDEX('Bonds ANBIMA'!$H:$H,MATCH(Base!$B119,'Bonds ANBIMA'!$A:$A,0))</f>
        <v>0.85714285714285721</v>
      </c>
      <c r="S128" s="7">
        <f>INDEX('Debêntures ANBIMA'!$O:$O,MATCH(Base!$B119,'Debêntures ANBIMA'!$A:$A,0))</f>
        <v>452.61136363636365</v>
      </c>
      <c r="T128" s="24">
        <f>INDEX('Debêntures ANBIMA'!$P:$P,MATCH(Base!$B119,'Debêntures ANBIMA'!$A:$A,0))</f>
        <v>0.31589773616787159</v>
      </c>
    </row>
    <row r="129" spans="1:20" x14ac:dyDescent="0.35">
      <c r="A129">
        <f>YEAR(B129)</f>
        <v>2016</v>
      </c>
      <c r="B129" s="12">
        <f>DATE(YEAR(G129),MONTH(G129),DAY(1))</f>
        <v>42552</v>
      </c>
      <c r="C129">
        <f>IF(E129&lt;&gt;E128,C128+1,C128)</f>
        <v>17</v>
      </c>
      <c r="D129" s="6" t="s">
        <v>65</v>
      </c>
      <c r="E129" s="6" t="s">
        <v>62</v>
      </c>
      <c r="F129" s="6" t="s">
        <v>233</v>
      </c>
      <c r="G129" s="1">
        <v>42569</v>
      </c>
      <c r="H129" s="1" t="s">
        <v>66</v>
      </c>
      <c r="I129" s="7">
        <f>IF(H129-G129&gt;(365*5),1,0)</f>
        <v>1</v>
      </c>
      <c r="J129" s="22">
        <v>1</v>
      </c>
      <c r="K129" s="9">
        <f>IF($N129="USD",INDEX('Dólar Spot'!$C:$C,MATCH(Base!$G120,'Dólar Spot'!$A:$A,0)),"")</f>
        <v>3.8601999999999999</v>
      </c>
      <c r="L129" s="8">
        <v>150000000</v>
      </c>
      <c r="M129" s="7">
        <f>IF(N129="USD",L129*K129/1000000,L129/1000000)</f>
        <v>579.03</v>
      </c>
      <c r="N129" s="6" t="s">
        <v>16</v>
      </c>
      <c r="O129" s="9" t="str" cm="1">
        <f t="array" ref="O129">INDEX(Ratings!$B$2:$L$42,_xlfn.XMATCH(Base!E120,Ratings!$A$2:$A$42),_xlfn.XMATCH(YEAR(Base!G120),Ratings!$B$1:$L$1))</f>
        <v>BB+</v>
      </c>
      <c r="P129">
        <f>IF(AND(O129&lt;&gt;"BBB-",O129&lt;&gt;"BBB",O129&lt;&gt;"BBB+"),0,1)</f>
        <v>0</v>
      </c>
      <c r="Q129" s="7">
        <f>INDEX('Bonds ANBIMA'!$F:$F,MATCH(Base!$B120,'Bonds ANBIMA'!$A:$A,0))</f>
        <v>2154.1763596491228</v>
      </c>
      <c r="R129" s="21">
        <f>INDEX('Bonds ANBIMA'!$H:$H,MATCH(Base!$B120,'Bonds ANBIMA'!$A:$A,0))</f>
        <v>0.8125</v>
      </c>
      <c r="S129" s="7">
        <f>INDEX('Debêntures ANBIMA'!$O:$O,MATCH(Base!$B120,'Debêntures ANBIMA'!$A:$A,0))</f>
        <v>599.62275384615384</v>
      </c>
      <c r="T129" s="24">
        <f>INDEX('Debêntures ANBIMA'!$P:$P,MATCH(Base!$B120,'Debêntures ANBIMA'!$A:$A,0))</f>
        <v>0.7802031687198594</v>
      </c>
    </row>
    <row r="130" spans="1:20" x14ac:dyDescent="0.35">
      <c r="A130">
        <f>YEAR(B130)</f>
        <v>2012</v>
      </c>
      <c r="B130" s="12">
        <f>DATE(YEAR(G130),MONTH(G130),DAY(1))</f>
        <v>41183</v>
      </c>
      <c r="C130">
        <f>IF(E130&lt;&gt;E129,C129+1,C129)</f>
        <v>17</v>
      </c>
      <c r="D130" s="6" t="s">
        <v>309</v>
      </c>
      <c r="E130" s="6" t="s">
        <v>62</v>
      </c>
      <c r="F130" s="6" t="s">
        <v>346</v>
      </c>
      <c r="G130" s="1">
        <v>41183</v>
      </c>
      <c r="H130" s="1">
        <v>43374</v>
      </c>
      <c r="I130" s="7">
        <f>IF(H130-G130&gt;(365*5),1,0)</f>
        <v>1</v>
      </c>
      <c r="J130" s="22">
        <v>1</v>
      </c>
      <c r="K130" s="9" t="str">
        <f>IF($N130="USD",INDEX('Dólar Spot'!$C:$C,MATCH(Base!$G122,'Dólar Spot'!$A:$A,0)),"")</f>
        <v/>
      </c>
      <c r="L130" s="8">
        <v>1900000000</v>
      </c>
      <c r="M130" s="7">
        <f>IF(N130="USD",L130*K130/1000000,L130/1000000)</f>
        <v>1900</v>
      </c>
      <c r="N130" s="6" t="s">
        <v>348</v>
      </c>
      <c r="O130" s="9" t="str" cm="1">
        <f t="array" ref="O130">INDEX(Ratings!$B$2:$L$42,_xlfn.XMATCH(Base!E122,Ratings!$A$2:$A$42),_xlfn.XMATCH(YEAR(Base!G122),Ratings!$B$1:$L$1))</f>
        <v>BBB+</v>
      </c>
      <c r="P130">
        <f>IF(AND(O130&lt;&gt;"BBB-",O130&lt;&gt;"BBB",O130&lt;&gt;"BBB+"),0,1)</f>
        <v>1</v>
      </c>
      <c r="Q130" s="7">
        <f>INDEX('Bonds ANBIMA'!$F:$F,MATCH(Base!$B122,'Bonds ANBIMA'!$A:$A,0))</f>
        <v>1663.253922972973</v>
      </c>
      <c r="R130" s="21">
        <f>INDEX('Bonds ANBIMA'!$H:$H,MATCH(Base!$B122,'Bonds ANBIMA'!$A:$A,0))</f>
        <v>0.81690140845070425</v>
      </c>
      <c r="S130" s="7">
        <f>INDEX('Debêntures ANBIMA'!$O:$O,MATCH(Base!$B122,'Debêntures ANBIMA'!$A:$A,0))</f>
        <v>197.61538461538461</v>
      </c>
      <c r="T130" s="24">
        <f>INDEX('Debêntures ANBIMA'!$P:$P,MATCH(Base!$B122,'Debêntures ANBIMA'!$A:$A,0))</f>
        <v>0.80517711171662121</v>
      </c>
    </row>
    <row r="131" spans="1:20" x14ac:dyDescent="0.35">
      <c r="A131">
        <f>YEAR(B131)</f>
        <v>2012</v>
      </c>
      <c r="B131" s="12">
        <f>DATE(YEAR(G131),MONTH(G131),DAY(1))</f>
        <v>41183</v>
      </c>
      <c r="C131">
        <f>IF(E131&lt;&gt;E130,C130+1,C130)</f>
        <v>17</v>
      </c>
      <c r="D131" s="6" t="s">
        <v>309</v>
      </c>
      <c r="E131" s="6" t="s">
        <v>62</v>
      </c>
      <c r="F131" s="6" t="s">
        <v>346</v>
      </c>
      <c r="G131" s="1">
        <v>41183</v>
      </c>
      <c r="H131" s="1">
        <v>44105</v>
      </c>
      <c r="I131" s="7">
        <f>IF(H131-G131&gt;(365*5),1,0)</f>
        <v>1</v>
      </c>
      <c r="J131" s="22">
        <v>1</v>
      </c>
      <c r="K131" s="9" t="str">
        <f>IF($N131="USD",INDEX('Dólar Spot'!$C:$C,MATCH(Base!$G123,'Dólar Spot'!$A:$A,0)),"")</f>
        <v/>
      </c>
      <c r="L131" s="8">
        <v>1400000000</v>
      </c>
      <c r="M131" s="7">
        <f>IF(N131="USD",L131*K131/1000000,L131/1000000)</f>
        <v>1400</v>
      </c>
      <c r="N131" s="6" t="s">
        <v>348</v>
      </c>
      <c r="O131" s="9" t="str" cm="1">
        <f t="array" ref="O131">INDEX(Ratings!$B$2:$L$42,_xlfn.XMATCH(Base!E123,Ratings!$A$2:$A$42),_xlfn.XMATCH(YEAR(Base!G123),Ratings!$B$1:$L$1))</f>
        <v>NR</v>
      </c>
      <c r="P131">
        <f>IF(AND(O131&lt;&gt;"BBB-",O131&lt;&gt;"BBB",O131&lt;&gt;"BBB+"),0,1)</f>
        <v>0</v>
      </c>
      <c r="Q131" s="7">
        <f>INDEX('Bonds ANBIMA'!$F:$F,MATCH(Base!$B123,'Bonds ANBIMA'!$A:$A,0))</f>
        <v>0</v>
      </c>
      <c r="R131" s="21">
        <f>INDEX('Bonds ANBIMA'!$H:$H,MATCH(Base!$B123,'Bonds ANBIMA'!$A:$A,0))</f>
        <v>0.70588235294117641</v>
      </c>
      <c r="S131" s="7">
        <f>INDEX('Debêntures ANBIMA'!$O:$O,MATCH(Base!$B123,'Debêntures ANBIMA'!$A:$A,0))</f>
        <v>358.9591666666667</v>
      </c>
      <c r="T131" s="24">
        <f>INDEX('Debêntures ANBIMA'!$P:$P,MATCH(Base!$B123,'Debêntures ANBIMA'!$A:$A,0))</f>
        <v>0.64175274868170362</v>
      </c>
    </row>
    <row r="132" spans="1:20" x14ac:dyDescent="0.35">
      <c r="A132">
        <f>YEAR(B132)</f>
        <v>2019</v>
      </c>
      <c r="B132" s="12">
        <f>DATE(YEAR(G132),MONTH(G132),DAY(1))</f>
        <v>43497</v>
      </c>
      <c r="C132">
        <f>IF(E132&lt;&gt;E131,C131+1,C131)</f>
        <v>17</v>
      </c>
      <c r="D132" s="6" t="s">
        <v>309</v>
      </c>
      <c r="E132" s="6" t="s">
        <v>62</v>
      </c>
      <c r="F132" s="6" t="s">
        <v>346</v>
      </c>
      <c r="G132" s="1">
        <v>43524</v>
      </c>
      <c r="H132" s="1">
        <v>44255</v>
      </c>
      <c r="I132" s="7">
        <f>IF(H132-G132&gt;(365*5),1,0)</f>
        <v>0</v>
      </c>
      <c r="J132" s="22">
        <v>1</v>
      </c>
      <c r="K132" s="9" t="str">
        <f>IF($N132="USD",INDEX('Dólar Spot'!$C:$C,MATCH(Base!$G124,'Dólar Spot'!$A:$A,0)),"")</f>
        <v/>
      </c>
      <c r="L132" s="8">
        <v>1700000000</v>
      </c>
      <c r="M132" s="7">
        <f>IF(N132="USD",L132*K132/1000000,L132/1000000)</f>
        <v>1700</v>
      </c>
      <c r="N132" s="6" t="s">
        <v>348</v>
      </c>
      <c r="O132" s="9" t="str" cm="1">
        <f t="array" ref="O132">INDEX(Ratings!$B$2:$L$42,_xlfn.XMATCH(Base!E124,Ratings!$A$2:$A$42),_xlfn.XMATCH(YEAR(Base!G124),Ratings!$B$1:$L$1))</f>
        <v>B+</v>
      </c>
      <c r="P132">
        <f>IF(AND(O132&lt;&gt;"BBB-",O132&lt;&gt;"BBB",O132&lt;&gt;"BBB+"),0,1)</f>
        <v>0</v>
      </c>
      <c r="Q132" s="7">
        <f>INDEX('Bonds ANBIMA'!$F:$F,MATCH(Base!$B124,'Bonds ANBIMA'!$A:$A,0))</f>
        <v>0</v>
      </c>
      <c r="R132" s="21">
        <f>INDEX('Bonds ANBIMA'!$H:$H,MATCH(Base!$B124,'Bonds ANBIMA'!$A:$A,0))</f>
        <v>0.88235294117647056</v>
      </c>
      <c r="S132" s="7">
        <f>INDEX('Debêntures ANBIMA'!$O:$O,MATCH(Base!$B124,'Debêntures ANBIMA'!$A:$A,0))</f>
        <v>229.18</v>
      </c>
      <c r="T132" s="24">
        <f>INDEX('Debêntures ANBIMA'!$P:$P,MATCH(Base!$B124,'Debêntures ANBIMA'!$A:$A,0))</f>
        <v>0.66574628235726097</v>
      </c>
    </row>
    <row r="133" spans="1:20" x14ac:dyDescent="0.35">
      <c r="A133">
        <f>YEAR(B133)</f>
        <v>2021</v>
      </c>
      <c r="B133" s="12">
        <f>DATE(YEAR(G133),MONTH(G133),DAY(1))</f>
        <v>44378</v>
      </c>
      <c r="C133">
        <f>IF(E133&lt;&gt;E132,C132+1,C132)</f>
        <v>17</v>
      </c>
      <c r="D133" s="6" t="s">
        <v>309</v>
      </c>
      <c r="E133" s="6" t="s">
        <v>62</v>
      </c>
      <c r="F133" s="6" t="s">
        <v>346</v>
      </c>
      <c r="G133" s="1">
        <v>44392</v>
      </c>
      <c r="H133" s="1">
        <v>46980</v>
      </c>
      <c r="I133" s="7">
        <f>IF(H133-G133&gt;(365*5),1,0)</f>
        <v>1</v>
      </c>
      <c r="J133" s="22">
        <v>1</v>
      </c>
      <c r="K133" s="9" t="str">
        <f>IF($N133="USD",INDEX('Dólar Spot'!$C:$C,MATCH(Base!$G125,'Dólar Spot'!$A:$A,0)),"")</f>
        <v/>
      </c>
      <c r="L133" s="8">
        <v>750000000</v>
      </c>
      <c r="M133" s="7">
        <f>IF(N133="USD",L133*K133/1000000,L133/1000000)</f>
        <v>750</v>
      </c>
      <c r="N133" s="6" t="s">
        <v>348</v>
      </c>
      <c r="O133" s="9" t="str" cm="1">
        <f t="array" ref="O133">INDEX(Ratings!$B$2:$L$42,_xlfn.XMATCH(Base!E125,Ratings!$A$2:$A$42),_xlfn.XMATCH(YEAR(Base!G125),Ratings!$B$1:$L$1))</f>
        <v>NR</v>
      </c>
      <c r="P133">
        <f>IF(AND(O133&lt;&gt;"BBB-",O133&lt;&gt;"BBB",O133&lt;&gt;"BBB+"),0,1)</f>
        <v>0</v>
      </c>
      <c r="Q133" s="7">
        <f>INDEX('Bonds ANBIMA'!$F:$F,MATCH(Base!$B125,'Bonds ANBIMA'!$A:$A,0))</f>
        <v>2138.213968863955</v>
      </c>
      <c r="R133" s="21">
        <f>INDEX('Bonds ANBIMA'!$H:$H,MATCH(Base!$B125,'Bonds ANBIMA'!$A:$A,0))</f>
        <v>0.7592592592592593</v>
      </c>
      <c r="S133" s="7">
        <f>INDEX('Debêntures ANBIMA'!$O:$O,MATCH(Base!$B125,'Debêntures ANBIMA'!$A:$A,0))</f>
        <v>151.63636363636363</v>
      </c>
      <c r="T133" s="24">
        <f>INDEX('Debêntures ANBIMA'!$P:$P,MATCH(Base!$B125,'Debêntures ANBIMA'!$A:$A,0))</f>
        <v>0.73733390689226652</v>
      </c>
    </row>
    <row r="134" spans="1:20" x14ac:dyDescent="0.35">
      <c r="A134">
        <f>YEAR(B134)</f>
        <v>2021</v>
      </c>
      <c r="B134" s="12">
        <f>DATE(YEAR(G134),MONTH(G134),DAY(1))</f>
        <v>44378</v>
      </c>
      <c r="C134">
        <f>IF(E134&lt;&gt;E133,C133+1,C133)</f>
        <v>17</v>
      </c>
      <c r="D134" s="6" t="s">
        <v>309</v>
      </c>
      <c r="E134" s="6" t="s">
        <v>62</v>
      </c>
      <c r="F134" s="6" t="s">
        <v>346</v>
      </c>
      <c r="G134" s="1">
        <v>44392</v>
      </c>
      <c r="H134" s="1">
        <v>48075</v>
      </c>
      <c r="I134" s="7">
        <f>IF(H134-G134&gt;(365*5),1,0)</f>
        <v>1</v>
      </c>
      <c r="J134" s="22">
        <v>1</v>
      </c>
      <c r="K134" s="9" t="str">
        <f>IF($N134="USD",INDEX('Dólar Spot'!$C:$C,MATCH(Base!$G126,'Dólar Spot'!$A:$A,0)),"")</f>
        <v/>
      </c>
      <c r="L134" s="8">
        <v>900000000</v>
      </c>
      <c r="M134" s="7">
        <f>IF(N134="USD",L134*K134/1000000,L134/1000000)</f>
        <v>900</v>
      </c>
      <c r="N134" s="6" t="s">
        <v>348</v>
      </c>
      <c r="O134" s="9" t="str" cm="1">
        <f t="array" ref="O134">INDEX(Ratings!$B$2:$L$42,_xlfn.XMATCH(Base!E126,Ratings!$A$2:$A$42),_xlfn.XMATCH(YEAR(Base!G126),Ratings!$B$1:$L$1))</f>
        <v>BB+</v>
      </c>
      <c r="P134">
        <f>IF(AND(O134&lt;&gt;"BBB-",O134&lt;&gt;"BBB",O134&lt;&gt;"BBB+"),0,1)</f>
        <v>0</v>
      </c>
      <c r="Q134" s="7">
        <f>INDEX('Bonds ANBIMA'!$F:$F,MATCH(Base!$B126,'Bonds ANBIMA'!$A:$A,0))</f>
        <v>2664.0614999999998</v>
      </c>
      <c r="R134" s="21">
        <f>INDEX('Bonds ANBIMA'!$H:$H,MATCH(Base!$B126,'Bonds ANBIMA'!$A:$A,0))</f>
        <v>0.91666666666666663</v>
      </c>
      <c r="S134" s="7">
        <f>INDEX('Debêntures ANBIMA'!$O:$O,MATCH(Base!$B126,'Debêntures ANBIMA'!$A:$A,0))</f>
        <v>205.69069620833338</v>
      </c>
      <c r="T134" s="24">
        <f>INDEX('Debêntures ANBIMA'!$P:$P,MATCH(Base!$B126,'Debêntures ANBIMA'!$A:$A,0))</f>
        <v>0.45742910467193804</v>
      </c>
    </row>
    <row r="135" spans="1:20" x14ac:dyDescent="0.35">
      <c r="A135">
        <f>YEAR(B135)</f>
        <v>2021</v>
      </c>
      <c r="B135" s="12">
        <f>DATE(YEAR(G135),MONTH(G135),DAY(1))</f>
        <v>44378</v>
      </c>
      <c r="C135">
        <f>IF(E135&lt;&gt;E134,C134+1,C134)</f>
        <v>17</v>
      </c>
      <c r="D135" s="6" t="s">
        <v>309</v>
      </c>
      <c r="E135" s="6" t="s">
        <v>62</v>
      </c>
      <c r="F135" s="6" t="s">
        <v>346</v>
      </c>
      <c r="G135" s="1">
        <v>44392</v>
      </c>
      <c r="H135" s="1">
        <v>48075</v>
      </c>
      <c r="I135" s="7">
        <f>IF(H135-G135&gt;(365*5),1,0)</f>
        <v>1</v>
      </c>
      <c r="J135" s="22">
        <v>1</v>
      </c>
      <c r="K135" s="9" t="str">
        <f>IF($N135="USD",INDEX('Dólar Spot'!$C:$C,MATCH(Base!$G127,'Dólar Spot'!$A:$A,0)),"")</f>
        <v/>
      </c>
      <c r="L135" s="8">
        <v>350000000</v>
      </c>
      <c r="M135" s="7">
        <f>IF(N135="USD",L135*K135/1000000,L135/1000000)</f>
        <v>350</v>
      </c>
      <c r="N135" s="6" t="s">
        <v>347</v>
      </c>
      <c r="O135" s="9" t="str" cm="1">
        <f t="array" ref="O135">INDEX(Ratings!$B$2:$L$42,_xlfn.XMATCH(Base!E127,Ratings!$A$2:$A$42),_xlfn.XMATCH(YEAR(Base!G127),Ratings!$B$1:$L$1))</f>
        <v>BB+</v>
      </c>
      <c r="P135">
        <f>IF(AND(O135&lt;&gt;"BBB-",O135&lt;&gt;"BBB",O135&lt;&gt;"BBB+"),0,1)</f>
        <v>0</v>
      </c>
      <c r="Q135" s="7">
        <f>INDEX('Bonds ANBIMA'!$F:$F,MATCH(Base!$B127,'Bonds ANBIMA'!$A:$A,0))</f>
        <v>3423.8772727272722</v>
      </c>
      <c r="R135" s="21">
        <f>INDEX('Bonds ANBIMA'!$H:$H,MATCH(Base!$B127,'Bonds ANBIMA'!$A:$A,0))</f>
        <v>0.5714285714285714</v>
      </c>
      <c r="S135" s="7">
        <f>INDEX('Debêntures ANBIMA'!$O:$O,MATCH(Base!$B127,'Debêntures ANBIMA'!$A:$A,0))</f>
        <v>313.18954558823532</v>
      </c>
      <c r="T135" s="24">
        <f>INDEX('Debêntures ANBIMA'!$P:$P,MATCH(Base!$B127,'Debêntures ANBIMA'!$A:$A,0))</f>
        <v>0.82799998804889829</v>
      </c>
    </row>
    <row r="136" spans="1:20" x14ac:dyDescent="0.35">
      <c r="A136">
        <f>YEAR(B136)</f>
        <v>2020</v>
      </c>
      <c r="B136" s="12">
        <f>DATE(YEAR(G136),MONTH(G136),DAY(1))</f>
        <v>44044</v>
      </c>
      <c r="C136">
        <f>IF(E136&lt;&gt;E135,C135+1,C135)</f>
        <v>17</v>
      </c>
      <c r="D136" s="6" t="s">
        <v>309</v>
      </c>
      <c r="E136" s="6" t="s">
        <v>62</v>
      </c>
      <c r="F136" s="6" t="s">
        <v>346</v>
      </c>
      <c r="G136" s="1">
        <v>44068</v>
      </c>
      <c r="H136" s="1">
        <v>45894</v>
      </c>
      <c r="I136" s="7">
        <f>IF(H136-G136&gt;(365*5),1,0)</f>
        <v>1</v>
      </c>
      <c r="J136" s="22">
        <v>1</v>
      </c>
      <c r="K136" s="9" t="str">
        <f>IF($N136="USD",INDEX('Dólar Spot'!$C:$C,MATCH(Base!$G128,'Dólar Spot'!$A:$A,0)),"")</f>
        <v/>
      </c>
      <c r="L136" s="8">
        <v>1740000000</v>
      </c>
      <c r="M136" s="7">
        <f>IF(N136="USD",L136*K136/1000000,L136/1000000)</f>
        <v>1740</v>
      </c>
      <c r="N136" s="6" t="s">
        <v>348</v>
      </c>
      <c r="O136" s="9" t="str" cm="1">
        <f t="array" ref="O136">INDEX(Ratings!$B$2:$L$42,_xlfn.XMATCH(Base!E128,Ratings!$A$2:$A$42),_xlfn.XMATCH(YEAR(Base!G128),Ratings!$B$1:$L$1))</f>
        <v>BB+</v>
      </c>
      <c r="P136">
        <f>IF(AND(O136&lt;&gt;"BBB-",O136&lt;&gt;"BBB",O136&lt;&gt;"BBB+"),0,1)</f>
        <v>0</v>
      </c>
      <c r="Q136" s="7">
        <f>INDEX('Bonds ANBIMA'!$F:$F,MATCH(Base!$B128,'Bonds ANBIMA'!$A:$A,0))</f>
        <v>2100.545443333333</v>
      </c>
      <c r="R136" s="21">
        <f>INDEX('Bonds ANBIMA'!$H:$H,MATCH(Base!$B128,'Bonds ANBIMA'!$A:$A,0))</f>
        <v>0.61224489795918369</v>
      </c>
      <c r="S136" s="7">
        <f>INDEX('Debêntures ANBIMA'!$O:$O,MATCH(Base!$B128,'Debêntures ANBIMA'!$A:$A,0))</f>
        <v>347.1515</v>
      </c>
      <c r="T136" s="24">
        <f>INDEX('Debêntures ANBIMA'!$P:$P,MATCH(Base!$B128,'Debêntures ANBIMA'!$A:$A,0))</f>
        <v>0.89276058422825388</v>
      </c>
    </row>
    <row r="137" spans="1:20" x14ac:dyDescent="0.35">
      <c r="A137">
        <f>YEAR(B137)</f>
        <v>2019</v>
      </c>
      <c r="B137" s="12">
        <f>DATE(YEAR(G137),MONTH(G137),DAY(1))</f>
        <v>43647</v>
      </c>
      <c r="C137">
        <f>IF(E137&lt;&gt;E136,C136+1,C136)</f>
        <v>17</v>
      </c>
      <c r="D137" s="6" t="s">
        <v>68</v>
      </c>
      <c r="E137" s="6" t="s">
        <v>62</v>
      </c>
      <c r="F137" s="6" t="s">
        <v>233</v>
      </c>
      <c r="G137" s="1">
        <v>43677</v>
      </c>
      <c r="H137" s="1" t="s">
        <v>69</v>
      </c>
      <c r="I137" s="7">
        <f>IF(H137-G137&gt;(365*5),1,0)</f>
        <v>1</v>
      </c>
      <c r="J137" s="22">
        <v>1</v>
      </c>
      <c r="K137" s="9">
        <f>IF($N137="USD",INDEX('Dólar Spot'!$C:$C,MATCH(Base!$G121,'Dólar Spot'!$A:$A,0)),"")</f>
        <v>2.0706000000000002</v>
      </c>
      <c r="L137" s="8">
        <v>750000000</v>
      </c>
      <c r="M137" s="7">
        <f>IF(N137="USD",L137*K137/1000000,L137/1000000)</f>
        <v>1552.9500000000003</v>
      </c>
      <c r="N137" s="6" t="s">
        <v>16</v>
      </c>
      <c r="O137" s="9" t="str" cm="1">
        <f t="array" ref="O137">INDEX(Ratings!$B$2:$L$42,_xlfn.XMATCH(Base!E121,Ratings!$A$2:$A$42),_xlfn.XMATCH(YEAR(Base!G121),Ratings!$B$1:$L$1))</f>
        <v>BBB+</v>
      </c>
      <c r="P137">
        <f>IF(AND(O137&lt;&gt;"BBB-",O137&lt;&gt;"BBB",O137&lt;&gt;"BBB+"),0,1)</f>
        <v>1</v>
      </c>
      <c r="Q137" s="7">
        <f>INDEX('Bonds ANBIMA'!$F:$F,MATCH(Base!$B121,'Bonds ANBIMA'!$A:$A,0))</f>
        <v>1663.253922972973</v>
      </c>
      <c r="R137" s="21">
        <f>INDEX('Bonds ANBIMA'!$H:$H,MATCH(Base!$B121,'Bonds ANBIMA'!$A:$A,0))</f>
        <v>0.81690140845070425</v>
      </c>
      <c r="S137" s="7">
        <f>INDEX('Debêntures ANBIMA'!$O:$O,MATCH(Base!$B121,'Debêntures ANBIMA'!$A:$A,0))</f>
        <v>197.61538461538461</v>
      </c>
      <c r="T137" s="24">
        <f>INDEX('Debêntures ANBIMA'!$P:$P,MATCH(Base!$B121,'Debêntures ANBIMA'!$A:$A,0))</f>
        <v>0.80517711171662121</v>
      </c>
    </row>
    <row r="138" spans="1:20" x14ac:dyDescent="0.35">
      <c r="A138">
        <f>YEAR(B138)</f>
        <v>2020</v>
      </c>
      <c r="B138" s="12">
        <f>DATE(YEAR(G138),MONTH(G138),DAY(1))</f>
        <v>43831</v>
      </c>
      <c r="C138">
        <f>IF(E138&lt;&gt;E137,C137+1,C137)</f>
        <v>18</v>
      </c>
      <c r="D138" s="6" t="s">
        <v>71</v>
      </c>
      <c r="E138" s="6" t="s">
        <v>70</v>
      </c>
      <c r="F138" s="6" t="s">
        <v>233</v>
      </c>
      <c r="G138" s="1">
        <v>43858</v>
      </c>
      <c r="H138" s="1" t="s">
        <v>72</v>
      </c>
      <c r="I138" s="7">
        <f>IF(H138-G138&gt;(365*5),1,0)</f>
        <v>1</v>
      </c>
      <c r="J138" s="22">
        <v>1</v>
      </c>
      <c r="K138" s="9">
        <f>IF($N138="USD",INDEX('Dólar Spot'!$C:$C,MATCH(Base!$G129,'Dólar Spot'!$A:$A,0)),"")</f>
        <v>3.2627999999999999</v>
      </c>
      <c r="L138" s="8">
        <v>1000000000</v>
      </c>
      <c r="M138" s="7">
        <f>IF(N138="USD",L138*K138/1000000,L138/1000000)</f>
        <v>3262.8</v>
      </c>
      <c r="N138" s="6" t="s">
        <v>16</v>
      </c>
      <c r="O138" s="9" t="str" cm="1">
        <f t="array" ref="O138">INDEX(Ratings!$B$2:$L$42,_xlfn.XMATCH(Base!E129,Ratings!$A$2:$A$42),_xlfn.XMATCH(YEAR(Base!G129),Ratings!$B$1:$L$1))</f>
        <v>BB+</v>
      </c>
      <c r="P138">
        <f>IF(AND(O138&lt;&gt;"BBB-",O138&lt;&gt;"BBB",O138&lt;&gt;"BBB+"),0,1)</f>
        <v>0</v>
      </c>
      <c r="Q138" s="7">
        <f>INDEX('Bonds ANBIMA'!$F:$F,MATCH(Base!$B129,'Bonds ANBIMA'!$A:$A,0))</f>
        <v>2592.4791666666665</v>
      </c>
      <c r="R138" s="21">
        <f>INDEX('Bonds ANBIMA'!$H:$H,MATCH(Base!$B129,'Bonds ANBIMA'!$A:$A,0))</f>
        <v>0.69230769230769229</v>
      </c>
      <c r="S138" s="7">
        <f>INDEX('Debêntures ANBIMA'!$O:$O,MATCH(Base!$B129,'Debêntures ANBIMA'!$A:$A,0))</f>
        <v>411.52395652173919</v>
      </c>
      <c r="T138" s="24">
        <f>INDEX('Debêntures ANBIMA'!$P:$P,MATCH(Base!$B129,'Debêntures ANBIMA'!$A:$A,0))</f>
        <v>0.53086481171751665</v>
      </c>
    </row>
    <row r="139" spans="1:20" x14ac:dyDescent="0.35">
      <c r="A139">
        <f>YEAR(B139)</f>
        <v>2020</v>
      </c>
      <c r="B139" s="12">
        <f>DATE(YEAR(G139),MONTH(G139),DAY(1))</f>
        <v>44136</v>
      </c>
      <c r="C139">
        <f>IF(E139&lt;&gt;E138,C138+1,C138)</f>
        <v>18</v>
      </c>
      <c r="D139" s="6" t="s">
        <v>71</v>
      </c>
      <c r="E139" s="6" t="s">
        <v>70</v>
      </c>
      <c r="F139" s="6" t="s">
        <v>233</v>
      </c>
      <c r="G139" s="1">
        <v>44151</v>
      </c>
      <c r="H139" s="1" t="s">
        <v>72</v>
      </c>
      <c r="I139" s="7">
        <f>IF(H139-G139&gt;(365*5),1,0)</f>
        <v>1</v>
      </c>
      <c r="J139" s="22">
        <v>1</v>
      </c>
      <c r="K139" s="9">
        <f>IF($N139="USD",INDEX('Dólar Spot'!$C:$C,MATCH(Base!$G130,'Dólar Spot'!$A:$A,0)),"")</f>
        <v>2.0253999999999999</v>
      </c>
      <c r="L139" s="8">
        <v>300000000</v>
      </c>
      <c r="M139" s="7">
        <f>IF(N139="USD",L139*K139/1000000,L139/1000000)</f>
        <v>607.62</v>
      </c>
      <c r="N139" s="6" t="s">
        <v>16</v>
      </c>
      <c r="O139" s="9" t="str" cm="1">
        <f t="array" ref="O139">INDEX(Ratings!$B$2:$L$42,_xlfn.XMATCH(Base!E130,Ratings!$A$2:$A$42),_xlfn.XMATCH(YEAR(Base!G130),Ratings!$B$1:$L$1))</f>
        <v>BB+</v>
      </c>
      <c r="P139">
        <f>IF(AND(O139&lt;&gt;"BBB-",O139&lt;&gt;"BBB",O139&lt;&gt;"BBB+"),0,1)</f>
        <v>0</v>
      </c>
      <c r="Q139" s="7">
        <f>INDEX('Bonds ANBIMA'!$F:$F,MATCH(Base!$B130,'Bonds ANBIMA'!$A:$A,0))</f>
        <v>1632.749181818182</v>
      </c>
      <c r="R139" s="21">
        <f>INDEX('Bonds ANBIMA'!$H:$H,MATCH(Base!$B130,'Bonds ANBIMA'!$A:$A,0))</f>
        <v>0.81690140845070425</v>
      </c>
      <c r="S139" s="7">
        <f>INDEX('Debêntures ANBIMA'!$O:$O,MATCH(Base!$B130,'Debêntures ANBIMA'!$A:$A,0))</f>
        <v>566.09934693877551</v>
      </c>
      <c r="T139" s="24">
        <f>INDEX('Debêntures ANBIMA'!$P:$P,MATCH(Base!$B130,'Debêntures ANBIMA'!$A:$A,0))</f>
        <v>0.94180052548270043</v>
      </c>
    </row>
    <row r="140" spans="1:20" x14ac:dyDescent="0.35">
      <c r="A140">
        <f>YEAR(B140)</f>
        <v>2021</v>
      </c>
      <c r="B140" s="12">
        <f>DATE(YEAR(G140),MONTH(G140),DAY(1))</f>
        <v>44378</v>
      </c>
      <c r="C140">
        <f>IF(E140&lt;&gt;E139,C139+1,C139)</f>
        <v>18</v>
      </c>
      <c r="D140" s="6" t="s">
        <v>310</v>
      </c>
      <c r="E140" s="6" t="s">
        <v>70</v>
      </c>
      <c r="F140" s="6" t="s">
        <v>346</v>
      </c>
      <c r="G140" s="1">
        <v>44392</v>
      </c>
      <c r="H140" s="1">
        <v>48044</v>
      </c>
      <c r="I140" s="7">
        <f>IF(H140-G140&gt;(365*5),1,0)</f>
        <v>1</v>
      </c>
      <c r="J140" s="22">
        <v>1</v>
      </c>
      <c r="K140" s="9" t="str">
        <f>IF($N140="USD",INDEX('Dólar Spot'!$C:$C,MATCH(Base!$G137,'Dólar Spot'!$A:$A,0)),"")</f>
        <v/>
      </c>
      <c r="L140" s="8">
        <v>576448000</v>
      </c>
      <c r="M140" s="7">
        <f>IF(N140="USD",L140*K140/1000000,L140/1000000)</f>
        <v>576.44799999999998</v>
      </c>
      <c r="N140" s="6" t="s">
        <v>347</v>
      </c>
      <c r="O140" s="9" t="str" cm="1">
        <f t="array" ref="O140">INDEX(Ratings!$B$2:$L$42,_xlfn.XMATCH(Base!E137,Ratings!$A$2:$A$42),_xlfn.XMATCH(YEAR(Base!G137),Ratings!$B$1:$L$1))</f>
        <v>BB</v>
      </c>
      <c r="P140">
        <f>IF(AND(O140&lt;&gt;"BBB-",O140&lt;&gt;"BBB",O140&lt;&gt;"BBB+"),0,1)</f>
        <v>0</v>
      </c>
      <c r="Q140" s="7">
        <f>INDEX('Bonds ANBIMA'!$F:$F,MATCH(Base!$B137,'Bonds ANBIMA'!$A:$A,0))</f>
        <v>2361.6956521739135</v>
      </c>
      <c r="R140" s="21">
        <f>INDEX('Bonds ANBIMA'!$H:$H,MATCH(Base!$B137,'Bonds ANBIMA'!$A:$A,0))</f>
        <v>0.8125</v>
      </c>
      <c r="S140" s="7">
        <f>INDEX('Debêntures ANBIMA'!$O:$O,MATCH(Base!$B137,'Debêntures ANBIMA'!$A:$A,0))</f>
        <v>277.1682222222222</v>
      </c>
      <c r="T140" s="24">
        <f>INDEX('Debêntures ANBIMA'!$P:$P,MATCH(Base!$B137,'Debêntures ANBIMA'!$A:$A,0))</f>
        <v>0.88986216208179325</v>
      </c>
    </row>
    <row r="141" spans="1:20" x14ac:dyDescent="0.35">
      <c r="A141">
        <f>YEAR(B141)</f>
        <v>2021</v>
      </c>
      <c r="B141" s="12">
        <f>DATE(YEAR(G141),MONTH(G141),DAY(1))</f>
        <v>44378</v>
      </c>
      <c r="C141">
        <f>IF(E141&lt;&gt;E140,C140+1,C140)</f>
        <v>18</v>
      </c>
      <c r="D141" s="6" t="s">
        <v>310</v>
      </c>
      <c r="E141" s="6" t="s">
        <v>70</v>
      </c>
      <c r="F141" s="6" t="s">
        <v>346</v>
      </c>
      <c r="G141" s="1">
        <v>44392</v>
      </c>
      <c r="H141" s="1">
        <v>49871</v>
      </c>
      <c r="I141" s="7">
        <f>IF(H141-G141&gt;(365*5),1,0)</f>
        <v>1</v>
      </c>
      <c r="J141" s="22">
        <v>1</v>
      </c>
      <c r="K141" s="9" t="str">
        <f>IF($N141="USD",INDEX('Dólar Spot'!$C:$C,MATCH(Base!$G138,'Dólar Spot'!$A:$A,0)),"")</f>
        <v/>
      </c>
      <c r="L141" s="8">
        <v>423552000</v>
      </c>
      <c r="M141" s="7">
        <f>IF(N141="USD",L141*K141/1000000,L141/1000000)</f>
        <v>423.55200000000002</v>
      </c>
      <c r="N141" s="6" t="s">
        <v>347</v>
      </c>
      <c r="O141" s="9" t="str" cm="1">
        <f t="array" ref="O141">INDEX(Ratings!$B$2:$L$42,_xlfn.XMATCH(Base!E138,Ratings!$A$2:$A$42),_xlfn.XMATCH(YEAR(Base!G138),Ratings!$B$1:$L$1))</f>
        <v>B</v>
      </c>
      <c r="P141">
        <f>IF(AND(O141&lt;&gt;"BBB-",O141&lt;&gt;"BBB",O141&lt;&gt;"BBB+"),0,1)</f>
        <v>0</v>
      </c>
      <c r="Q141" s="7">
        <f>INDEX('Bonds ANBIMA'!$F:$F,MATCH(Base!$B138,'Bonds ANBIMA'!$A:$A,0))</f>
        <v>2644.9005681818185</v>
      </c>
      <c r="R141" s="21">
        <f>INDEX('Bonds ANBIMA'!$H:$H,MATCH(Base!$B138,'Bonds ANBIMA'!$A:$A,0))</f>
        <v>0.75</v>
      </c>
      <c r="S141" s="7">
        <f>INDEX('Debêntures ANBIMA'!$O:$O,MATCH(Base!$B138,'Debêntures ANBIMA'!$A:$A,0))</f>
        <v>430.5</v>
      </c>
      <c r="T141" s="24">
        <f>INDEX('Debêntures ANBIMA'!$P:$P,MATCH(Base!$B138,'Debêntures ANBIMA'!$A:$A,0))</f>
        <v>0.14942026169192898</v>
      </c>
    </row>
    <row r="142" spans="1:20" x14ac:dyDescent="0.35">
      <c r="A142">
        <f>YEAR(B142)</f>
        <v>2021</v>
      </c>
      <c r="B142" s="12">
        <f>DATE(YEAR(G142),MONTH(G142),DAY(1))</f>
        <v>44348</v>
      </c>
      <c r="C142">
        <f>IF(E142&lt;&gt;E141,C141+1,C141)</f>
        <v>18</v>
      </c>
      <c r="D142" s="6" t="s">
        <v>73</v>
      </c>
      <c r="E142" s="6" t="s">
        <v>70</v>
      </c>
      <c r="F142" s="6" t="s">
        <v>233</v>
      </c>
      <c r="G142" s="1">
        <v>44357</v>
      </c>
      <c r="H142" s="1" t="s">
        <v>74</v>
      </c>
      <c r="I142" s="7">
        <f>IF(H142-G142&gt;(365*5),1,0)</f>
        <v>1</v>
      </c>
      <c r="J142" s="22">
        <v>1</v>
      </c>
      <c r="K142" s="9">
        <f>IF($N142="USD",INDEX('Dólar Spot'!$C:$C,MATCH(Base!$G131,'Dólar Spot'!$A:$A,0)),"")</f>
        <v>2.0253999999999999</v>
      </c>
      <c r="L142" s="8">
        <v>850000000</v>
      </c>
      <c r="M142" s="7">
        <f>IF(N142="USD",L142*K142/1000000,L142/1000000)</f>
        <v>1721.59</v>
      </c>
      <c r="N142" s="6" t="s">
        <v>16</v>
      </c>
      <c r="O142" s="9" t="str" cm="1">
        <f t="array" ref="O142">INDEX(Ratings!$B$2:$L$42,_xlfn.XMATCH(Base!E131,Ratings!$A$2:$A$42),_xlfn.XMATCH(YEAR(Base!G131),Ratings!$B$1:$L$1))</f>
        <v>BB+</v>
      </c>
      <c r="P142">
        <f>IF(AND(O142&lt;&gt;"BBB-",O142&lt;&gt;"BBB",O142&lt;&gt;"BBB+"),0,1)</f>
        <v>0</v>
      </c>
      <c r="Q142" s="7">
        <f>INDEX('Bonds ANBIMA'!$F:$F,MATCH(Base!$B131,'Bonds ANBIMA'!$A:$A,0))</f>
        <v>1632.749181818182</v>
      </c>
      <c r="R142" s="21">
        <f>INDEX('Bonds ANBIMA'!$H:$H,MATCH(Base!$B131,'Bonds ANBIMA'!$A:$A,0))</f>
        <v>0.81690140845070425</v>
      </c>
      <c r="S142" s="7">
        <f>INDEX('Debêntures ANBIMA'!$O:$O,MATCH(Base!$B131,'Debêntures ANBIMA'!$A:$A,0))</f>
        <v>566.09934693877551</v>
      </c>
      <c r="T142" s="24">
        <f>INDEX('Debêntures ANBIMA'!$P:$P,MATCH(Base!$B131,'Debêntures ANBIMA'!$A:$A,0))</f>
        <v>0.94180052548270043</v>
      </c>
    </row>
    <row r="143" spans="1:20" x14ac:dyDescent="0.35">
      <c r="A143">
        <f>YEAR(B143)</f>
        <v>2019</v>
      </c>
      <c r="B143" s="12">
        <f>DATE(YEAR(G143),MONTH(G143),DAY(1))</f>
        <v>43556</v>
      </c>
      <c r="C143">
        <f>IF(E143&lt;&gt;E142,C142+1,C142)</f>
        <v>18</v>
      </c>
      <c r="D143" s="6" t="s">
        <v>73</v>
      </c>
      <c r="E143" s="6" t="s">
        <v>70</v>
      </c>
      <c r="F143" s="6" t="s">
        <v>233</v>
      </c>
      <c r="G143" s="1">
        <v>43572</v>
      </c>
      <c r="H143" s="1" t="s">
        <v>75</v>
      </c>
      <c r="I143" s="7">
        <f>IF(H143-G143&gt;(365*5),1,0)</f>
        <v>1</v>
      </c>
      <c r="J143" s="22">
        <v>1</v>
      </c>
      <c r="K143" s="9">
        <f>IF($N143="USD",INDEX('Dólar Spot'!$C:$C,MATCH(Base!$G132,'Dólar Spot'!$A:$A,0)),"")</f>
        <v>3.7378999999999998</v>
      </c>
      <c r="L143" s="8">
        <v>600000000</v>
      </c>
      <c r="M143" s="7">
        <f>IF(N143="USD",L143*K143/1000000,L143/1000000)</f>
        <v>2242.7399999999998</v>
      </c>
      <c r="N143" s="6" t="s">
        <v>16</v>
      </c>
      <c r="O143" s="9" t="str" cm="1">
        <f t="array" ref="O143">INDEX(Ratings!$B$2:$L$42,_xlfn.XMATCH(Base!E132,Ratings!$A$2:$A$42),_xlfn.XMATCH(YEAR(Base!G132),Ratings!$B$1:$L$1))</f>
        <v>BB</v>
      </c>
      <c r="P143">
        <f>IF(AND(O143&lt;&gt;"BBB-",O143&lt;&gt;"BBB",O143&lt;&gt;"BBB+"),0,1)</f>
        <v>0</v>
      </c>
      <c r="Q143" s="7">
        <f>INDEX('Bonds ANBIMA'!$F:$F,MATCH(Base!$B132,'Bonds ANBIMA'!$A:$A,0))</f>
        <v>2792.2687499999997</v>
      </c>
      <c r="R143" s="21">
        <f>INDEX('Bonds ANBIMA'!$H:$H,MATCH(Base!$B132,'Bonds ANBIMA'!$A:$A,0))</f>
        <v>1</v>
      </c>
      <c r="S143" s="7">
        <f>INDEX('Debêntures ANBIMA'!$O:$O,MATCH(Base!$B132,'Debêntures ANBIMA'!$A:$A,0))</f>
        <v>266.95299999999997</v>
      </c>
      <c r="T143" s="24">
        <f>INDEX('Debêntures ANBIMA'!$P:$P,MATCH(Base!$B132,'Debêntures ANBIMA'!$A:$A,0))</f>
        <v>0.51217228464419473</v>
      </c>
    </row>
    <row r="144" spans="1:20" x14ac:dyDescent="0.35">
      <c r="A144">
        <f>YEAR(B144)</f>
        <v>2018</v>
      </c>
      <c r="B144" s="12">
        <f>DATE(YEAR(G144),MONTH(G144),DAY(1))</f>
        <v>43132</v>
      </c>
      <c r="C144">
        <f>IF(E144&lt;&gt;E143,C143+1,C143)</f>
        <v>18</v>
      </c>
      <c r="D144" s="6" t="s">
        <v>73</v>
      </c>
      <c r="E144" s="6" t="s">
        <v>70</v>
      </c>
      <c r="F144" s="6" t="s">
        <v>233</v>
      </c>
      <c r="G144" s="1">
        <v>43140</v>
      </c>
      <c r="H144" s="1" t="s">
        <v>76</v>
      </c>
      <c r="I144" s="7">
        <f>IF(H144-G144&gt;(365*5),1,0)</f>
        <v>1</v>
      </c>
      <c r="J144" s="22">
        <v>1</v>
      </c>
      <c r="K144" s="9">
        <f>IF($N144="USD",INDEX('Dólar Spot'!$C:$C,MATCH(Base!$G133,'Dólar Spot'!$A:$A,0)),"")</f>
        <v>5.0994000000000002</v>
      </c>
      <c r="L144" s="8">
        <v>350000000</v>
      </c>
      <c r="M144" s="7">
        <f>IF(N144="USD",L144*K144/1000000,L144/1000000)</f>
        <v>1784.79</v>
      </c>
      <c r="N144" s="6" t="s">
        <v>16</v>
      </c>
      <c r="O144" s="9" t="str" cm="1">
        <f t="array" ref="O144">INDEX(Ratings!$B$2:$L$42,_xlfn.XMATCH(Base!E133,Ratings!$A$2:$A$42),_xlfn.XMATCH(YEAR(Base!G133),Ratings!$B$1:$L$1))</f>
        <v>BB</v>
      </c>
      <c r="P144">
        <f>IF(AND(O144&lt;&gt;"BBB-",O144&lt;&gt;"BBB",O144&lt;&gt;"BBB+"),0,1)</f>
        <v>0</v>
      </c>
      <c r="Q144" s="7">
        <f>INDEX('Bonds ANBIMA'!$F:$F,MATCH(Base!$B133,'Bonds ANBIMA'!$A:$A,0))</f>
        <v>3609.2190909090909</v>
      </c>
      <c r="R144" s="21">
        <f>INDEX('Bonds ANBIMA'!$H:$H,MATCH(Base!$B133,'Bonds ANBIMA'!$A:$A,0))</f>
        <v>0.79166666666666663</v>
      </c>
      <c r="S144" s="7">
        <f>INDEX('Debêntures ANBIMA'!$O:$O,MATCH(Base!$B133,'Debêntures ANBIMA'!$A:$A,0))</f>
        <v>568.24089808413794</v>
      </c>
      <c r="T144" s="24">
        <f>INDEX('Debêntures ANBIMA'!$P:$P,MATCH(Base!$B133,'Debêntures ANBIMA'!$A:$A,0))</f>
        <v>0.46520214713834979</v>
      </c>
    </row>
    <row r="145" spans="1:20" x14ac:dyDescent="0.35">
      <c r="A145">
        <f>YEAR(B145)</f>
        <v>2019</v>
      </c>
      <c r="B145" s="12">
        <f>DATE(YEAR(G145),MONTH(G145),DAY(1))</f>
        <v>43647</v>
      </c>
      <c r="C145">
        <f>IF(E145&lt;&gt;E144,C144+1,C144)</f>
        <v>18</v>
      </c>
      <c r="D145" s="6" t="s">
        <v>73</v>
      </c>
      <c r="E145" s="6" t="s">
        <v>70</v>
      </c>
      <c r="F145" s="6" t="s">
        <v>233</v>
      </c>
      <c r="G145" s="1">
        <v>43648</v>
      </c>
      <c r="H145" s="1" t="s">
        <v>76</v>
      </c>
      <c r="I145" s="7">
        <f>IF(H145-G145&gt;(365*5),1,0)</f>
        <v>0</v>
      </c>
      <c r="J145" s="22">
        <v>1</v>
      </c>
      <c r="K145" s="9">
        <f>IF($N145="USD",INDEX('Dólar Spot'!$C:$C,MATCH(Base!$G134,'Dólar Spot'!$A:$A,0)),"")</f>
        <v>5.0994000000000002</v>
      </c>
      <c r="L145" s="8">
        <v>175000000</v>
      </c>
      <c r="M145" s="7">
        <f>IF(N145="USD",L145*K145/1000000,L145/1000000)</f>
        <v>892.39499999999998</v>
      </c>
      <c r="N145" s="6" t="s">
        <v>16</v>
      </c>
      <c r="O145" s="9" t="str" cm="1">
        <f t="array" ref="O145">INDEX(Ratings!$B$2:$L$42,_xlfn.XMATCH(Base!E134,Ratings!$A$2:$A$42),_xlfn.XMATCH(YEAR(Base!G134),Ratings!$B$1:$L$1))</f>
        <v>BB</v>
      </c>
      <c r="P145">
        <f>IF(AND(O145&lt;&gt;"BBB-",O145&lt;&gt;"BBB",O145&lt;&gt;"BBB+"),0,1)</f>
        <v>0</v>
      </c>
      <c r="Q145" s="7">
        <f>INDEX('Bonds ANBIMA'!$F:$F,MATCH(Base!$B134,'Bonds ANBIMA'!$A:$A,0))</f>
        <v>3609.2190909090909</v>
      </c>
      <c r="R145" s="21">
        <f>INDEX('Bonds ANBIMA'!$H:$H,MATCH(Base!$B134,'Bonds ANBIMA'!$A:$A,0))</f>
        <v>0.79166666666666663</v>
      </c>
      <c r="S145" s="7">
        <f>INDEX('Debêntures ANBIMA'!$O:$O,MATCH(Base!$B134,'Debêntures ANBIMA'!$A:$A,0))</f>
        <v>568.24089808413794</v>
      </c>
      <c r="T145" s="24">
        <f>INDEX('Debêntures ANBIMA'!$P:$P,MATCH(Base!$B134,'Debêntures ANBIMA'!$A:$A,0))</f>
        <v>0.46520214713834979</v>
      </c>
    </row>
    <row r="146" spans="1:20" x14ac:dyDescent="0.35">
      <c r="A146">
        <f>YEAR(B146)</f>
        <v>2012</v>
      </c>
      <c r="B146" s="12">
        <f>DATE(YEAR(G146),MONTH(G146),DAY(1))</f>
        <v>40940</v>
      </c>
      <c r="C146">
        <f>IF(E146&lt;&gt;E145,C145+1,C145)</f>
        <v>18</v>
      </c>
      <c r="D146" s="6" t="s">
        <v>73</v>
      </c>
      <c r="E146" s="6" t="s">
        <v>70</v>
      </c>
      <c r="F146" s="6" t="s">
        <v>233</v>
      </c>
      <c r="G146" s="1">
        <v>40942</v>
      </c>
      <c r="H146" s="1" t="s">
        <v>77</v>
      </c>
      <c r="I146" s="7">
        <f>IF(H146-G146&gt;(365*5),1,0)</f>
        <v>1</v>
      </c>
      <c r="J146" s="22">
        <v>1</v>
      </c>
      <c r="K146" s="9">
        <f>IF($N146="USD",INDEX('Dólar Spot'!$C:$C,MATCH(Base!$G135,'Dólar Spot'!$A:$A,0)),"")</f>
        <v>5.0994000000000002</v>
      </c>
      <c r="L146" s="8">
        <v>200000000</v>
      </c>
      <c r="M146" s="7">
        <f>IF(N146="USD",L146*K146/1000000,L146/1000000)</f>
        <v>1019.88</v>
      </c>
      <c r="N146" s="6" t="s">
        <v>16</v>
      </c>
      <c r="O146" s="9" t="str" cm="1">
        <f t="array" ref="O146">INDEX(Ratings!$B$2:$L$42,_xlfn.XMATCH(Base!E135,Ratings!$A$2:$A$42),_xlfn.XMATCH(YEAR(Base!G135),Ratings!$B$1:$L$1))</f>
        <v>BB</v>
      </c>
      <c r="P146">
        <f>IF(AND(O146&lt;&gt;"BBB-",O146&lt;&gt;"BBB",O146&lt;&gt;"BBB+"),0,1)</f>
        <v>0</v>
      </c>
      <c r="Q146" s="7">
        <f>INDEX('Bonds ANBIMA'!$F:$F,MATCH(Base!$B135,'Bonds ANBIMA'!$A:$A,0))</f>
        <v>3609.2190909090909</v>
      </c>
      <c r="R146" s="21">
        <f>INDEX('Bonds ANBIMA'!$H:$H,MATCH(Base!$B135,'Bonds ANBIMA'!$A:$A,0))</f>
        <v>0.79166666666666663</v>
      </c>
      <c r="S146" s="7">
        <f>INDEX('Debêntures ANBIMA'!$O:$O,MATCH(Base!$B135,'Debêntures ANBIMA'!$A:$A,0))</f>
        <v>568.24089808413794</v>
      </c>
      <c r="T146" s="24">
        <f>INDEX('Debêntures ANBIMA'!$P:$P,MATCH(Base!$B135,'Debêntures ANBIMA'!$A:$A,0))</f>
        <v>0.46520214713834979</v>
      </c>
    </row>
    <row r="147" spans="1:20" x14ac:dyDescent="0.35">
      <c r="A147">
        <f>YEAR(B147)</f>
        <v>2019</v>
      </c>
      <c r="B147" s="12">
        <f>DATE(YEAR(G147),MONTH(G147),DAY(1))</f>
        <v>43556</v>
      </c>
      <c r="C147">
        <f>IF(E147&lt;&gt;E146,C146+1,C146)</f>
        <v>18</v>
      </c>
      <c r="D147" s="6" t="s">
        <v>73</v>
      </c>
      <c r="E147" s="6" t="s">
        <v>70</v>
      </c>
      <c r="F147" s="6" t="s">
        <v>233</v>
      </c>
      <c r="G147" s="1">
        <v>43572</v>
      </c>
      <c r="H147" s="1" t="s">
        <v>76</v>
      </c>
      <c r="I147" s="7">
        <f>IF(H147-G147&gt;(365*5),1,0)</f>
        <v>0</v>
      </c>
      <c r="J147" s="22">
        <v>1</v>
      </c>
      <c r="K147" s="9">
        <f>IF($N147="USD",INDEX('Dólar Spot'!$C:$C,MATCH(Base!$G136,'Dólar Spot'!$A:$A,0)),"")</f>
        <v>5.5991</v>
      </c>
      <c r="L147" s="8">
        <v>400000000</v>
      </c>
      <c r="M147" s="7">
        <f>IF(N147="USD",L147*K147/1000000,L147/1000000)</f>
        <v>2239.64</v>
      </c>
      <c r="N147" s="6" t="s">
        <v>16</v>
      </c>
      <c r="O147" s="9" t="str" cm="1">
        <f t="array" ref="O147">INDEX(Ratings!$B$2:$L$42,_xlfn.XMATCH(Base!E136,Ratings!$A$2:$A$42),_xlfn.XMATCH(YEAR(Base!G136),Ratings!$B$1:$L$1))</f>
        <v>BB</v>
      </c>
      <c r="P147">
        <f>IF(AND(O147&lt;&gt;"BBB-",O147&lt;&gt;"BBB",O147&lt;&gt;"BBB+"),0,1)</f>
        <v>0</v>
      </c>
      <c r="Q147" s="7">
        <f>INDEX('Bonds ANBIMA'!$F:$F,MATCH(Base!$B136,'Bonds ANBIMA'!$A:$A,0))</f>
        <v>0</v>
      </c>
      <c r="R147" s="21">
        <f>INDEX('Bonds ANBIMA'!$H:$H,MATCH(Base!$B136,'Bonds ANBIMA'!$A:$A,0))</f>
        <v>0.70833333333333326</v>
      </c>
      <c r="S147" s="7">
        <f>INDEX('Debêntures ANBIMA'!$O:$O,MATCH(Base!$B136,'Debêntures ANBIMA'!$A:$A,0))</f>
        <v>570.38141666666672</v>
      </c>
      <c r="T147" s="24">
        <f>INDEX('Debêntures ANBIMA'!$P:$P,MATCH(Base!$B136,'Debêntures ANBIMA'!$A:$A,0))</f>
        <v>0.61397156617705761</v>
      </c>
    </row>
    <row r="148" spans="1:20" x14ac:dyDescent="0.35">
      <c r="A148">
        <f>YEAR(B148)</f>
        <v>2021</v>
      </c>
      <c r="B148" s="12">
        <f>DATE(YEAR(G148),MONTH(G148),DAY(1))</f>
        <v>44440</v>
      </c>
      <c r="C148">
        <f>IF(E148&lt;&gt;E147,C147+1,C147)</f>
        <v>19</v>
      </c>
      <c r="D148" s="6" t="s">
        <v>311</v>
      </c>
      <c r="E148" s="6" t="s">
        <v>78</v>
      </c>
      <c r="F148" s="6" t="s">
        <v>346</v>
      </c>
      <c r="G148" s="1">
        <v>44459</v>
      </c>
      <c r="H148" s="1">
        <v>45555</v>
      </c>
      <c r="I148" s="7">
        <f>IF(H148-G148&gt;(365*5),1,0)</f>
        <v>0</v>
      </c>
      <c r="J148" s="6">
        <v>1</v>
      </c>
      <c r="K148" s="9" t="str">
        <f>IF($N148="USD",INDEX('Dólar Spot'!$C:$C,MATCH(Base!$G140,'Dólar Spot'!$A:$A,0)),"")</f>
        <v/>
      </c>
      <c r="L148" s="8">
        <v>700000000</v>
      </c>
      <c r="M148" s="7">
        <f>IF(N148="USD",L148*K148/1000000,L148/1000000)</f>
        <v>700</v>
      </c>
      <c r="N148" s="6" t="s">
        <v>348</v>
      </c>
      <c r="O148" s="9" t="str" cm="1">
        <f t="array" ref="O148">INDEX(Ratings!$B$2:$L$42,_xlfn.XMATCH(Base!E140,Ratings!$A$2:$A$42),_xlfn.XMATCH(YEAR(Base!G140),Ratings!$B$1:$L$1))</f>
        <v>BB</v>
      </c>
      <c r="P148">
        <f>IF(AND(O148&lt;&gt;"BBB-",O148&lt;&gt;"BBB",O148&lt;&gt;"BBB+"),0,1)</f>
        <v>0</v>
      </c>
      <c r="Q148" s="7">
        <f>INDEX('Bonds ANBIMA'!$F:$F,MATCH(Base!$B140,'Bonds ANBIMA'!$A:$A,0))</f>
        <v>3609.2190909090909</v>
      </c>
      <c r="R148" s="21">
        <f>INDEX('Bonds ANBIMA'!$H:$H,MATCH(Base!$B140,'Bonds ANBIMA'!$A:$A,0))</f>
        <v>0.79166666666666663</v>
      </c>
      <c r="S148" s="7">
        <f>INDEX('Debêntures ANBIMA'!$O:$O,MATCH(Base!$B140,'Debêntures ANBIMA'!$A:$A,0))</f>
        <v>568.24089808413794</v>
      </c>
      <c r="T148" s="24">
        <f>INDEX('Debêntures ANBIMA'!$P:$P,MATCH(Base!$B140,'Debêntures ANBIMA'!$A:$A,0))</f>
        <v>0.46520214713834979</v>
      </c>
    </row>
    <row r="149" spans="1:20" x14ac:dyDescent="0.35">
      <c r="A149">
        <f>YEAR(B149)</f>
        <v>2012</v>
      </c>
      <c r="B149" s="12">
        <f>DATE(YEAR(G149),MONTH(G149),DAY(1))</f>
        <v>41244</v>
      </c>
      <c r="C149">
        <f>IF(E149&lt;&gt;E148,C148+1,C148)</f>
        <v>19</v>
      </c>
      <c r="D149" s="6" t="s">
        <v>311</v>
      </c>
      <c r="E149" s="6" t="s">
        <v>78</v>
      </c>
      <c r="F149" s="6" t="s">
        <v>346</v>
      </c>
      <c r="G149" s="1">
        <v>41244</v>
      </c>
      <c r="H149" s="1">
        <v>46722</v>
      </c>
      <c r="I149" s="7">
        <f>IF(H149-G149&gt;(365*5),1,0)</f>
        <v>1</v>
      </c>
      <c r="J149" s="6">
        <v>0</v>
      </c>
      <c r="K149" s="9" t="str">
        <f>IF($N149="USD",INDEX('Dólar Spot'!$C:$C,MATCH(Base!$G141,'Dólar Spot'!$A:$A,0)),"")</f>
        <v/>
      </c>
      <c r="L149" s="8">
        <v>940000000</v>
      </c>
      <c r="M149" s="7">
        <f>IF(N149="USD",L149*K149/1000000,L149/1000000)</f>
        <v>940</v>
      </c>
      <c r="N149" s="6" t="s">
        <v>347</v>
      </c>
      <c r="O149" s="9" t="str" cm="1">
        <f t="array" ref="O149">INDEX(Ratings!$B$2:$L$42,_xlfn.XMATCH(Base!E141,Ratings!$A$2:$A$42),_xlfn.XMATCH(YEAR(Base!G141),Ratings!$B$1:$L$1))</f>
        <v>BB</v>
      </c>
      <c r="P149">
        <f>IF(AND(O149&lt;&gt;"BBB-",O149&lt;&gt;"BBB",O149&lt;&gt;"BBB+"),0,1)</f>
        <v>0</v>
      </c>
      <c r="Q149" s="7">
        <f>INDEX('Bonds ANBIMA'!$F:$F,MATCH(Base!$B141,'Bonds ANBIMA'!$A:$A,0))</f>
        <v>3609.2190909090909</v>
      </c>
      <c r="R149" s="21">
        <f>INDEX('Bonds ANBIMA'!$H:$H,MATCH(Base!$B141,'Bonds ANBIMA'!$A:$A,0))</f>
        <v>0.79166666666666663</v>
      </c>
      <c r="S149" s="7">
        <f>INDEX('Debêntures ANBIMA'!$O:$O,MATCH(Base!$B141,'Debêntures ANBIMA'!$A:$A,0))</f>
        <v>568.24089808413794</v>
      </c>
      <c r="T149" s="24">
        <f>INDEX('Debêntures ANBIMA'!$P:$P,MATCH(Base!$B141,'Debêntures ANBIMA'!$A:$A,0))</f>
        <v>0.46520214713834979</v>
      </c>
    </row>
    <row r="150" spans="1:20" x14ac:dyDescent="0.35">
      <c r="A150">
        <f>YEAR(B150)</f>
        <v>2016</v>
      </c>
      <c r="B150" s="12">
        <f>DATE(YEAR(G150),MONTH(G150),DAY(1))</f>
        <v>42522</v>
      </c>
      <c r="C150">
        <f>IF(E150&lt;&gt;E149,C149+1,C149)</f>
        <v>19</v>
      </c>
      <c r="D150" s="6" t="s">
        <v>79</v>
      </c>
      <c r="E150" s="6" t="s">
        <v>78</v>
      </c>
      <c r="F150" s="6" t="s">
        <v>233</v>
      </c>
      <c r="G150" s="1">
        <v>42537</v>
      </c>
      <c r="H150" s="1" t="s">
        <v>80</v>
      </c>
      <c r="I150" s="7">
        <f>IF(H150-G150&gt;(365*5),1,0)</f>
        <v>1</v>
      </c>
      <c r="J150" s="22">
        <v>0</v>
      </c>
      <c r="K150" s="9">
        <f>IF($N150="USD",INDEX('Dólar Spot'!$C:$C,MATCH(Base!$G139,'Dólar Spot'!$A:$A,0)),"")</f>
        <v>5.4192</v>
      </c>
      <c r="L150" s="8">
        <v>350000000</v>
      </c>
      <c r="M150" s="7">
        <f>IF(N150="USD",L150*K150/1000000,L150/1000000)</f>
        <v>1896.72</v>
      </c>
      <c r="N150" s="6" t="s">
        <v>16</v>
      </c>
      <c r="O150" s="9" t="str" cm="1">
        <f t="array" ref="O150">INDEX(Ratings!$B$2:$L$42,_xlfn.XMATCH(Base!E139,Ratings!$A$2:$A$42),_xlfn.XMATCH(YEAR(Base!G139),Ratings!$B$1:$L$1))</f>
        <v>B</v>
      </c>
      <c r="P150">
        <f>IF(AND(O150&lt;&gt;"BBB-",O150&lt;&gt;"BBB",O150&lt;&gt;"BBB+"),0,1)</f>
        <v>0</v>
      </c>
      <c r="Q150" s="7">
        <f>INDEX('Bonds ANBIMA'!$F:$F,MATCH(Base!$B139,'Bonds ANBIMA'!$A:$A,0))</f>
        <v>2347.4684999999999</v>
      </c>
      <c r="R150" s="21">
        <f>INDEX('Bonds ANBIMA'!$H:$H,MATCH(Base!$B139,'Bonds ANBIMA'!$A:$A,0))</f>
        <v>0.72727272727272729</v>
      </c>
      <c r="S150" s="7">
        <f>INDEX('Debêntures ANBIMA'!$O:$O,MATCH(Base!$B139,'Debêntures ANBIMA'!$A:$A,0))</f>
        <v>422.12423076923073</v>
      </c>
      <c r="T150" s="24">
        <f>INDEX('Debêntures ANBIMA'!$P:$P,MATCH(Base!$B139,'Debêntures ANBIMA'!$A:$A,0))</f>
        <v>0.74161267158767152</v>
      </c>
    </row>
    <row r="151" spans="1:20" x14ac:dyDescent="0.35">
      <c r="A151">
        <f>YEAR(B151)</f>
        <v>2011</v>
      </c>
      <c r="B151" s="12">
        <f>DATE(YEAR(G151),MONTH(G151),DAY(1))</f>
        <v>40695</v>
      </c>
      <c r="C151">
        <f>IF(E151&lt;&gt;E150,C150+1,C150)</f>
        <v>20</v>
      </c>
      <c r="D151" s="6" t="s">
        <v>87</v>
      </c>
      <c r="E151" s="6" t="s">
        <v>86</v>
      </c>
      <c r="F151" s="6" t="s">
        <v>233</v>
      </c>
      <c r="G151" s="1">
        <v>40697</v>
      </c>
      <c r="H151" s="1" t="s">
        <v>88</v>
      </c>
      <c r="I151" s="7">
        <f>IF(H151-G151&gt;(365*5),1,0)</f>
        <v>1</v>
      </c>
      <c r="J151" s="22">
        <v>1</v>
      </c>
      <c r="K151" s="9">
        <f>IF($N151="USD",INDEX('Dólar Spot'!$C:$C,MATCH(Base!$G151,'Dólar Spot'!$A:$A,0)),"")</f>
        <v>1.5736000000000001</v>
      </c>
      <c r="L151" s="8">
        <v>250000000</v>
      </c>
      <c r="M151" s="7">
        <f>IF(N151="USD",L151*K151/1000000,L151/1000000)</f>
        <v>393.4</v>
      </c>
      <c r="N151" s="6" t="s">
        <v>16</v>
      </c>
      <c r="O151" s="9" t="str" cm="1">
        <f t="array" ref="O151">INDEX(Ratings!$B$2:$L$42,_xlfn.XMATCH(Base!E151,Ratings!$A$2:$A$42),_xlfn.XMATCH(YEAR(Base!G151),Ratings!$B$1:$L$1))</f>
        <v>B</v>
      </c>
      <c r="P151">
        <f>IF(AND(O151&lt;&gt;"BBB-",O151&lt;&gt;"BBB",O151&lt;&gt;"BBB+"),0,1)</f>
        <v>0</v>
      </c>
      <c r="Q151" s="7">
        <f>INDEX('Bonds ANBIMA'!$F:$F,MATCH(Base!$B151,'Bonds ANBIMA'!$A:$A,0))</f>
        <v>1408.4616384615385</v>
      </c>
      <c r="R151" s="21">
        <f>INDEX('Bonds ANBIMA'!$H:$H,MATCH(Base!$B151,'Bonds ANBIMA'!$A:$A,0))</f>
        <v>0.5862068965517242</v>
      </c>
      <c r="S151" s="7">
        <f>INDEX('Debêntures ANBIMA'!$O:$O,MATCH(Base!$B151,'Debêntures ANBIMA'!$A:$A,0))</f>
        <v>558.13793103448279</v>
      </c>
      <c r="T151" s="24">
        <f>INDEX('Debêntures ANBIMA'!$P:$P,MATCH(Base!$B151,'Debêntures ANBIMA'!$A:$A,0))</f>
        <v>0.95063635240331146</v>
      </c>
    </row>
    <row r="152" spans="1:20" x14ac:dyDescent="0.35">
      <c r="A152">
        <f>YEAR(B152)</f>
        <v>2016</v>
      </c>
      <c r="B152" s="12">
        <f>DATE(YEAR(G152),MONTH(G152),DAY(1))</f>
        <v>42705</v>
      </c>
      <c r="C152">
        <f>IF(E152&lt;&gt;E151,C151+1,C151)</f>
        <v>20</v>
      </c>
      <c r="D152" s="6" t="s">
        <v>313</v>
      </c>
      <c r="E152" s="6" t="s">
        <v>86</v>
      </c>
      <c r="F152" s="6" t="s">
        <v>346</v>
      </c>
      <c r="G152" s="1">
        <v>42719</v>
      </c>
      <c r="H152" s="1">
        <v>44545</v>
      </c>
      <c r="I152" s="7">
        <f>IF(H152-G152&gt;(365*5),1,0)</f>
        <v>1</v>
      </c>
      <c r="J152" s="6">
        <v>1</v>
      </c>
      <c r="K152" s="9" t="str">
        <f>IF($N152="USD",INDEX('Dólar Spot'!$C:$C,MATCH(Base!$G152,'Dólar Spot'!$A:$A,0)),"")</f>
        <v/>
      </c>
      <c r="L152" s="8">
        <v>199069000</v>
      </c>
      <c r="M152" s="7">
        <f>IF(N152="USD",L152*K152/1000000,L152/1000000)</f>
        <v>199.06899999999999</v>
      </c>
      <c r="N152" s="6" t="s">
        <v>347</v>
      </c>
      <c r="O152" s="9" t="str" cm="1">
        <f t="array" ref="O152">INDEX(Ratings!$B$2:$L$42,_xlfn.XMATCH(Base!E152,Ratings!$A$2:$A$42),_xlfn.XMATCH(YEAR(Base!G152),Ratings!$B$1:$L$1))</f>
        <v>NR</v>
      </c>
      <c r="P152">
        <f>IF(AND(O152&lt;&gt;"BBB-",O152&lt;&gt;"BBB",O152&lt;&gt;"BBB+"),0,1)</f>
        <v>0</v>
      </c>
      <c r="Q152" s="7">
        <f>INDEX('Bonds ANBIMA'!$F:$F,MATCH(Base!$B152,'Bonds ANBIMA'!$A:$A,0))</f>
        <v>0</v>
      </c>
      <c r="R152" s="21">
        <f>INDEX('Bonds ANBIMA'!$H:$H,MATCH(Base!$B152,'Bonds ANBIMA'!$A:$A,0))</f>
        <v>0.77777777777777779</v>
      </c>
      <c r="S152" s="7">
        <f>INDEX('Debêntures ANBIMA'!$O:$O,MATCH(Base!$B152,'Debêntures ANBIMA'!$A:$A,0))</f>
        <v>349.91726772413796</v>
      </c>
      <c r="T152" s="24">
        <f>INDEX('Debêntures ANBIMA'!$P:$P,MATCH(Base!$B152,'Debêntures ANBIMA'!$A:$A,0))</f>
        <v>0.63876540206182508</v>
      </c>
    </row>
    <row r="153" spans="1:20" x14ac:dyDescent="0.35">
      <c r="A153">
        <f>YEAR(B153)</f>
        <v>2016</v>
      </c>
      <c r="B153" s="12">
        <f>DATE(YEAR(G153),MONTH(G153),DAY(1))</f>
        <v>42705</v>
      </c>
      <c r="C153">
        <f>IF(E153&lt;&gt;E152,C152+1,C152)</f>
        <v>20</v>
      </c>
      <c r="D153" s="6" t="s">
        <v>313</v>
      </c>
      <c r="E153" s="6" t="s">
        <v>86</v>
      </c>
      <c r="F153" s="6" t="s">
        <v>346</v>
      </c>
      <c r="G153" s="1">
        <v>42719</v>
      </c>
      <c r="H153" s="1">
        <v>43814</v>
      </c>
      <c r="I153" s="7">
        <f>IF(H153-G153&gt;(365*5),1,0)</f>
        <v>0</v>
      </c>
      <c r="J153" s="6">
        <v>1</v>
      </c>
      <c r="K153" s="9" t="str">
        <f>IF($N153="USD",INDEX('Dólar Spot'!$C:$C,MATCH(Base!$G153,'Dólar Spot'!$A:$A,0)),"")</f>
        <v/>
      </c>
      <c r="L153" s="8">
        <v>500000000</v>
      </c>
      <c r="M153" s="7">
        <f>IF(N153="USD",L153*K153/1000000,L153/1000000)</f>
        <v>500</v>
      </c>
      <c r="N153" s="6" t="s">
        <v>348</v>
      </c>
      <c r="O153" s="9" t="str" cm="1">
        <f t="array" ref="O153">INDEX(Ratings!$B$2:$L$42,_xlfn.XMATCH(Base!E153,Ratings!$A$2:$A$42),_xlfn.XMATCH(YEAR(Base!G153),Ratings!$B$1:$L$1))</f>
        <v>NR</v>
      </c>
      <c r="P153">
        <f>IF(AND(O153&lt;&gt;"BBB-",O153&lt;&gt;"BBB",O153&lt;&gt;"BBB+"),0,1)</f>
        <v>0</v>
      </c>
      <c r="Q153" s="7">
        <f>INDEX('Bonds ANBIMA'!$F:$F,MATCH(Base!$B153,'Bonds ANBIMA'!$A:$A,0))</f>
        <v>0</v>
      </c>
      <c r="R153" s="21">
        <f>INDEX('Bonds ANBIMA'!$H:$H,MATCH(Base!$B153,'Bonds ANBIMA'!$A:$A,0))</f>
        <v>0.77777777777777779</v>
      </c>
      <c r="S153" s="7">
        <f>INDEX('Debêntures ANBIMA'!$O:$O,MATCH(Base!$B153,'Debêntures ANBIMA'!$A:$A,0))</f>
        <v>349.91726772413796</v>
      </c>
      <c r="T153" s="24">
        <f>INDEX('Debêntures ANBIMA'!$P:$P,MATCH(Base!$B153,'Debêntures ANBIMA'!$A:$A,0))</f>
        <v>0.63876540206182508</v>
      </c>
    </row>
    <row r="154" spans="1:20" x14ac:dyDescent="0.35">
      <c r="A154">
        <f>YEAR(B154)</f>
        <v>2016</v>
      </c>
      <c r="B154" s="12">
        <f>DATE(YEAR(G154),MONTH(G154),DAY(1))</f>
        <v>42705</v>
      </c>
      <c r="C154">
        <f>IF(E154&lt;&gt;E153,C153+1,C153)</f>
        <v>20</v>
      </c>
      <c r="D154" s="6" t="s">
        <v>313</v>
      </c>
      <c r="E154" s="6" t="s">
        <v>86</v>
      </c>
      <c r="F154" s="6" t="s">
        <v>346</v>
      </c>
      <c r="G154" s="1">
        <v>42719</v>
      </c>
      <c r="H154" s="1">
        <v>45275</v>
      </c>
      <c r="I154" s="7">
        <f>IF(H154-G154&gt;(365*5),1,0)</f>
        <v>1</v>
      </c>
      <c r="J154" s="6">
        <v>1</v>
      </c>
      <c r="K154" s="9" t="str">
        <f>IF($N154="USD",INDEX('Dólar Spot'!$C:$C,MATCH(Base!$G154,'Dólar Spot'!$A:$A,0)),"")</f>
        <v/>
      </c>
      <c r="L154" s="8">
        <v>100931000</v>
      </c>
      <c r="M154" s="7">
        <f>IF(N154="USD",L154*K154/1000000,L154/1000000)</f>
        <v>100.931</v>
      </c>
      <c r="N154" s="6" t="s">
        <v>347</v>
      </c>
      <c r="O154" s="9" t="str" cm="1">
        <f t="array" ref="O154">INDEX(Ratings!$B$2:$L$42,_xlfn.XMATCH(Base!E154,Ratings!$A$2:$A$42),_xlfn.XMATCH(YEAR(Base!G154),Ratings!$B$1:$L$1))</f>
        <v>NR</v>
      </c>
      <c r="P154">
        <f>IF(AND(O154&lt;&gt;"BBB-",O154&lt;&gt;"BBB",O154&lt;&gt;"BBB+"),0,1)</f>
        <v>0</v>
      </c>
      <c r="Q154" s="7">
        <f>INDEX('Bonds ANBIMA'!$F:$F,MATCH(Base!$B154,'Bonds ANBIMA'!$A:$A,0))</f>
        <v>0</v>
      </c>
      <c r="R154" s="21">
        <f>INDEX('Bonds ANBIMA'!$H:$H,MATCH(Base!$B154,'Bonds ANBIMA'!$A:$A,0))</f>
        <v>0.77777777777777779</v>
      </c>
      <c r="S154" s="7">
        <f>INDEX('Debêntures ANBIMA'!$O:$O,MATCH(Base!$B154,'Debêntures ANBIMA'!$A:$A,0))</f>
        <v>349.91726772413796</v>
      </c>
      <c r="T154" s="24">
        <f>INDEX('Debêntures ANBIMA'!$P:$P,MATCH(Base!$B154,'Debêntures ANBIMA'!$A:$A,0))</f>
        <v>0.63876540206182508</v>
      </c>
    </row>
    <row r="155" spans="1:20" x14ac:dyDescent="0.35">
      <c r="A155">
        <f>YEAR(B155)</f>
        <v>2018</v>
      </c>
      <c r="B155" s="12">
        <f>DATE(YEAR(G155),MONTH(G155),DAY(1))</f>
        <v>43405</v>
      </c>
      <c r="C155">
        <f>IF(E155&lt;&gt;E154,C154+1,C154)</f>
        <v>21</v>
      </c>
      <c r="D155" s="6" t="s">
        <v>314</v>
      </c>
      <c r="E155" s="6" t="s">
        <v>89</v>
      </c>
      <c r="F155" s="6" t="s">
        <v>346</v>
      </c>
      <c r="G155" s="1">
        <v>43425</v>
      </c>
      <c r="H155" s="1">
        <v>44886</v>
      </c>
      <c r="I155" s="7">
        <f>IF(H155-G155&gt;(365*5),1,0)</f>
        <v>0</v>
      </c>
      <c r="J155" s="22">
        <v>1</v>
      </c>
      <c r="K155" s="9" t="str">
        <f>IF($N155="USD",INDEX('Dólar Spot'!$C:$C,MATCH(Base!$G161,'Dólar Spot'!$A:$A,0)),"")</f>
        <v/>
      </c>
      <c r="L155" s="8">
        <v>1500000000</v>
      </c>
      <c r="M155" s="7">
        <f>IF(N155="USD",L155*K155/1000000,L155/1000000)</f>
        <v>1500</v>
      </c>
      <c r="N155" s="6" t="s">
        <v>348</v>
      </c>
      <c r="O155" s="9" t="str" cm="1">
        <f t="array" ref="O155">INDEX(Ratings!$B$2:$L$42,_xlfn.XMATCH(Base!E161,Ratings!$A$2:$A$42),_xlfn.XMATCH(YEAR(Base!G161),Ratings!$B$1:$L$1))</f>
        <v>CCC</v>
      </c>
      <c r="P155">
        <f>IF(AND(O155&lt;&gt;"BBB-",O155&lt;&gt;"BBB",O155&lt;&gt;"BBB+"),0,1)</f>
        <v>0</v>
      </c>
      <c r="Q155" s="7">
        <f>INDEX('Bonds ANBIMA'!$F:$F,MATCH(Base!$B161,'Bonds ANBIMA'!$A:$A,0))</f>
        <v>1535.9446666666665</v>
      </c>
      <c r="R155" s="21">
        <f>INDEX('Bonds ANBIMA'!$H:$H,MATCH(Base!$B161,'Bonds ANBIMA'!$A:$A,0))</f>
        <v>0.89473684210526316</v>
      </c>
      <c r="S155" s="7">
        <f>INDEX('Debêntures ANBIMA'!$O:$O,MATCH(Base!$B161,'Debêntures ANBIMA'!$A:$A,0))</f>
        <v>259.67190909090914</v>
      </c>
      <c r="T155" s="24">
        <f>INDEX('Debêntures ANBIMA'!$P:$P,MATCH(Base!$B161,'Debêntures ANBIMA'!$A:$A,0))</f>
        <v>0.36330056435990116</v>
      </c>
    </row>
    <row r="156" spans="1:20" x14ac:dyDescent="0.35">
      <c r="A156">
        <f>YEAR(B156)</f>
        <v>2019</v>
      </c>
      <c r="B156" s="12">
        <f>DATE(YEAR(G156),MONTH(G156),DAY(1))</f>
        <v>43586</v>
      </c>
      <c r="C156">
        <f>IF(E156&lt;&gt;E155,C155+1,C155)</f>
        <v>21</v>
      </c>
      <c r="D156" s="6" t="s">
        <v>314</v>
      </c>
      <c r="E156" s="6" t="s">
        <v>89</v>
      </c>
      <c r="F156" s="6" t="s">
        <v>346</v>
      </c>
      <c r="G156" s="1">
        <v>43591</v>
      </c>
      <c r="H156" s="1">
        <v>45052</v>
      </c>
      <c r="I156" s="7">
        <f>IF(H156-G156&gt;(365*5),1,0)</f>
        <v>0</v>
      </c>
      <c r="J156" s="22">
        <v>1</v>
      </c>
      <c r="K156" s="9" t="str">
        <f>IF($N156="USD",INDEX('Dólar Spot'!$C:$C,MATCH(Base!$G162,'Dólar Spot'!$A:$A,0)),"")</f>
        <v/>
      </c>
      <c r="L156" s="8">
        <v>600000000</v>
      </c>
      <c r="M156" s="7">
        <f>IF(N156="USD",L156*K156/1000000,L156/1000000)</f>
        <v>600</v>
      </c>
      <c r="N156" s="6" t="s">
        <v>348</v>
      </c>
      <c r="O156" s="9" t="str" cm="1">
        <f t="array" ref="O156">INDEX(Ratings!$B$2:$L$42,_xlfn.XMATCH(Base!E162,Ratings!$A$2:$A$42),_xlfn.XMATCH(YEAR(Base!G162),Ratings!$B$1:$L$1))</f>
        <v>B</v>
      </c>
      <c r="P156">
        <f>IF(AND(O156&lt;&gt;"BBB-",O156&lt;&gt;"BBB",O156&lt;&gt;"BBB+"),0,1)</f>
        <v>0</v>
      </c>
      <c r="Q156" s="7">
        <f>INDEX('Bonds ANBIMA'!$F:$F,MATCH(Base!$B162,'Bonds ANBIMA'!$A:$A,0))</f>
        <v>3344.2145454545453</v>
      </c>
      <c r="R156" s="21">
        <f>INDEX('Bonds ANBIMA'!$H:$H,MATCH(Base!$B162,'Bonds ANBIMA'!$A:$A,0))</f>
        <v>0.72222222222222221</v>
      </c>
      <c r="S156" s="7">
        <f>INDEX('Debêntures ANBIMA'!$O:$O,MATCH(Base!$B162,'Debêntures ANBIMA'!$A:$A,0))</f>
        <v>406.54441818181817</v>
      </c>
      <c r="T156" s="24">
        <f>INDEX('Debêntures ANBIMA'!$P:$P,MATCH(Base!$B162,'Debêntures ANBIMA'!$A:$A,0))</f>
        <v>0.78798019506593575</v>
      </c>
    </row>
    <row r="157" spans="1:20" x14ac:dyDescent="0.35">
      <c r="A157">
        <f>YEAR(B157)</f>
        <v>2019</v>
      </c>
      <c r="B157" s="12">
        <f>DATE(YEAR(G157),MONTH(G157),DAY(1))</f>
        <v>43586</v>
      </c>
      <c r="C157">
        <f>IF(E157&lt;&gt;E156,C156+1,C156)</f>
        <v>21</v>
      </c>
      <c r="D157" s="6" t="s">
        <v>314</v>
      </c>
      <c r="E157" s="6" t="s">
        <v>89</v>
      </c>
      <c r="F157" s="6" t="s">
        <v>346</v>
      </c>
      <c r="G157" s="1">
        <v>43591</v>
      </c>
      <c r="H157" s="1">
        <v>46148</v>
      </c>
      <c r="I157" s="7">
        <f>IF(H157-G157&gt;(365*5),1,0)</f>
        <v>1</v>
      </c>
      <c r="J157" s="22">
        <v>1</v>
      </c>
      <c r="K157" s="9" t="str">
        <f>IF($N157="USD",INDEX('Dólar Spot'!$C:$C,MATCH(Base!$G163,'Dólar Spot'!$A:$A,0)),"")</f>
        <v/>
      </c>
      <c r="L157" s="8">
        <v>800000000</v>
      </c>
      <c r="M157" s="7">
        <f>IF(N157="USD",L157*K157/1000000,L157/1000000)</f>
        <v>800</v>
      </c>
      <c r="N157" s="6" t="s">
        <v>348</v>
      </c>
      <c r="O157" s="9" t="str" cm="1">
        <f t="array" ref="O157">INDEX(Ratings!$B$2:$L$42,_xlfn.XMATCH(Base!E163,Ratings!$A$2:$A$42),_xlfn.XMATCH(YEAR(Base!G163),Ratings!$B$1:$L$1))</f>
        <v>CCC+</v>
      </c>
      <c r="P157">
        <f>IF(AND(O157&lt;&gt;"BBB-",O157&lt;&gt;"BBB",O157&lt;&gt;"BBB+"),0,1)</f>
        <v>0</v>
      </c>
      <c r="Q157" s="7">
        <f>INDEX('Bonds ANBIMA'!$F:$F,MATCH(Base!$B163,'Bonds ANBIMA'!$A:$A,0))</f>
        <v>3703.5200000000004</v>
      </c>
      <c r="R157" s="21">
        <f>INDEX('Bonds ANBIMA'!$H:$H,MATCH(Base!$B163,'Bonds ANBIMA'!$A:$A,0))</f>
        <v>0.85714285714285721</v>
      </c>
      <c r="S157" s="7">
        <f>INDEX('Debêntures ANBIMA'!$O:$O,MATCH(Base!$B163,'Debêntures ANBIMA'!$A:$A,0))</f>
        <v>328.13531108771929</v>
      </c>
      <c r="T157" s="24">
        <f>INDEX('Debêntures ANBIMA'!$P:$P,MATCH(Base!$B163,'Debêntures ANBIMA'!$A:$A,0))</f>
        <v>0.63540417434387042</v>
      </c>
    </row>
    <row r="158" spans="1:20" x14ac:dyDescent="0.35">
      <c r="A158">
        <f>YEAR(B158)</f>
        <v>2017</v>
      </c>
      <c r="B158" s="12">
        <f>DATE(YEAR(G158),MONTH(G158),DAY(1))</f>
        <v>43009</v>
      </c>
      <c r="C158">
        <f>IF(E158&lt;&gt;E157,C157+1,C157)</f>
        <v>21</v>
      </c>
      <c r="D158" s="6" t="s">
        <v>90</v>
      </c>
      <c r="E158" s="6" t="s">
        <v>89</v>
      </c>
      <c r="F158" s="6" t="s">
        <v>233</v>
      </c>
      <c r="G158" s="1">
        <v>43032</v>
      </c>
      <c r="H158" s="1" t="s">
        <v>91</v>
      </c>
      <c r="I158" s="7">
        <f>IF(H158-G158&gt;(365*5),1,0)</f>
        <v>1</v>
      </c>
      <c r="J158" s="22">
        <v>1</v>
      </c>
      <c r="K158" s="9">
        <f>IF($N158="USD",INDEX('Dólar Spot'!$C:$C,MATCH(Base!$G155,'Dólar Spot'!$A:$A,0)),"")</f>
        <v>3.7866</v>
      </c>
      <c r="L158" s="8">
        <v>650000000</v>
      </c>
      <c r="M158" s="7">
        <f>IF(N158="USD",L158*K158/1000000,L158/1000000)</f>
        <v>2461.29</v>
      </c>
      <c r="N158" s="6" t="s">
        <v>16</v>
      </c>
      <c r="O158" s="9" t="str" cm="1">
        <f t="array" ref="O158">INDEX(Ratings!$B$2:$L$42,_xlfn.XMATCH(Base!E155,Ratings!$A$2:$A$42),_xlfn.XMATCH(YEAR(Base!G155),Ratings!$B$1:$L$1))</f>
        <v>BBB-</v>
      </c>
      <c r="P158">
        <f>IF(AND(O158&lt;&gt;"BBB-",O158&lt;&gt;"BBB",O158&lt;&gt;"BBB+"),0,1)</f>
        <v>1</v>
      </c>
      <c r="Q158" s="7">
        <f>INDEX('Bonds ANBIMA'!$F:$F,MATCH(Base!$B155,'Bonds ANBIMA'!$A:$A,0))</f>
        <v>1893.0074999999995</v>
      </c>
      <c r="R158" s="21">
        <f>INDEX('Bonds ANBIMA'!$H:$H,MATCH(Base!$B155,'Bonds ANBIMA'!$A:$A,0))</f>
        <v>0.77272727272727271</v>
      </c>
      <c r="S158" s="7">
        <f>INDEX('Debêntures ANBIMA'!$O:$O,MATCH(Base!$B155,'Debêntures ANBIMA'!$A:$A,0))</f>
        <v>201.88611111111109</v>
      </c>
      <c r="T158" s="24">
        <f>INDEX('Debêntures ANBIMA'!$P:$P,MATCH(Base!$B155,'Debêntures ANBIMA'!$A:$A,0))</f>
        <v>0.63753451191835664</v>
      </c>
    </row>
    <row r="159" spans="1:20" x14ac:dyDescent="0.35">
      <c r="A159">
        <f>YEAR(B159)</f>
        <v>2013</v>
      </c>
      <c r="B159" s="12">
        <f>DATE(YEAR(G159),MONTH(G159),DAY(1))</f>
        <v>41365</v>
      </c>
      <c r="C159">
        <f>IF(E159&lt;&gt;E158,C158+1,C158)</f>
        <v>21</v>
      </c>
      <c r="D159" s="6" t="s">
        <v>90</v>
      </c>
      <c r="E159" s="6" t="s">
        <v>89</v>
      </c>
      <c r="F159" s="6" t="s">
        <v>233</v>
      </c>
      <c r="G159" s="1">
        <v>41379</v>
      </c>
      <c r="H159" s="1" t="s">
        <v>92</v>
      </c>
      <c r="I159" s="7">
        <f>IF(H159-G159&gt;(365*5),1,0)</f>
        <v>1</v>
      </c>
      <c r="J159" s="22">
        <v>1</v>
      </c>
      <c r="K159" s="9">
        <f>IF($N159="USD",INDEX('Dólar Spot'!$C:$C,MATCH(Base!$G156,'Dólar Spot'!$A:$A,0)),"")</f>
        <v>3.9618000000000002</v>
      </c>
      <c r="L159" s="8">
        <v>750000000</v>
      </c>
      <c r="M159" s="7">
        <f>IF(N159="USD",L159*K159/1000000,L159/1000000)</f>
        <v>2971.35</v>
      </c>
      <c r="N159" s="6" t="s">
        <v>16</v>
      </c>
      <c r="O159" s="9" t="str" cm="1">
        <f t="array" ref="O159">INDEX(Ratings!$B$2:$L$42,_xlfn.XMATCH(Base!E156,Ratings!$A$2:$A$42),_xlfn.XMATCH(YEAR(Base!G156),Ratings!$B$1:$L$1))</f>
        <v>BBB-</v>
      </c>
      <c r="P159">
        <f>IF(AND(O159&lt;&gt;"BBB-",O159&lt;&gt;"BBB",O159&lt;&gt;"BBB+"),0,1)</f>
        <v>1</v>
      </c>
      <c r="Q159" s="7">
        <f>INDEX('Bonds ANBIMA'!$F:$F,MATCH(Base!$B156,'Bonds ANBIMA'!$A:$A,0))</f>
        <v>1000.2295454545454</v>
      </c>
      <c r="R159" s="21">
        <f>INDEX('Bonds ANBIMA'!$H:$H,MATCH(Base!$B156,'Bonds ANBIMA'!$A:$A,0))</f>
        <v>0.84615384615384615</v>
      </c>
      <c r="S159" s="7">
        <f>INDEX('Debêntures ANBIMA'!$O:$O,MATCH(Base!$B156,'Debêntures ANBIMA'!$A:$A,0))</f>
        <v>326.08475806451617</v>
      </c>
      <c r="T159" s="24">
        <f>INDEX('Debêntures ANBIMA'!$P:$P,MATCH(Base!$B156,'Debêntures ANBIMA'!$A:$A,0))</f>
        <v>0.72465429019647709</v>
      </c>
    </row>
    <row r="160" spans="1:20" x14ac:dyDescent="0.35">
      <c r="A160">
        <f>YEAR(B160)</f>
        <v>2018</v>
      </c>
      <c r="B160" s="12">
        <f>DATE(YEAR(G160),MONTH(G160),DAY(1))</f>
        <v>43132</v>
      </c>
      <c r="C160">
        <f>IF(E160&lt;&gt;E159,C159+1,C159)</f>
        <v>22</v>
      </c>
      <c r="D160" s="6" t="s">
        <v>100</v>
      </c>
      <c r="E160" s="6" t="s">
        <v>99</v>
      </c>
      <c r="F160" s="6" t="s">
        <v>233</v>
      </c>
      <c r="G160" s="1">
        <v>43133</v>
      </c>
      <c r="H160" s="1" t="s">
        <v>101</v>
      </c>
      <c r="I160" s="7">
        <f>IF(H160-G160&gt;(365*5),1,0)</f>
        <v>1</v>
      </c>
      <c r="J160" s="22">
        <v>1</v>
      </c>
      <c r="K160" s="9">
        <f>IF($N160="USD",INDEX('Dólar Spot'!$C:$C,MATCH(Base!$G164,'Dólar Spot'!$A:$A,0)),"")</f>
        <v>5.42</v>
      </c>
      <c r="L160" s="8">
        <v>150000000</v>
      </c>
      <c r="M160" s="7">
        <f>IF(N160="USD",L160*K160/1000000,L160/1000000)</f>
        <v>813</v>
      </c>
      <c r="N160" s="6" t="s">
        <v>16</v>
      </c>
      <c r="O160" s="9" t="str" cm="1">
        <f t="array" ref="O160">INDEX(Ratings!$B$2:$L$42,_xlfn.XMATCH(Base!E164,Ratings!$A$2:$A$42),_xlfn.XMATCH(YEAR(Base!G164),Ratings!$B$1:$L$1))</f>
        <v>CCC+</v>
      </c>
      <c r="P160">
        <f>IF(AND(O160&lt;&gt;"BBB-",O160&lt;&gt;"BBB",O160&lt;&gt;"BBB+"),0,1)</f>
        <v>0</v>
      </c>
      <c r="Q160" s="7">
        <f>INDEX('Bonds ANBIMA'!$F:$F,MATCH(Base!$B164,'Bonds ANBIMA'!$A:$A,0))</f>
        <v>2639.5452380952379</v>
      </c>
      <c r="R160" s="21">
        <f>INDEX('Bonds ANBIMA'!$H:$H,MATCH(Base!$B164,'Bonds ANBIMA'!$A:$A,0))</f>
        <v>0.75</v>
      </c>
      <c r="S160" s="7">
        <f>INDEX('Debêntures ANBIMA'!$O:$O,MATCH(Base!$B164,'Debêntures ANBIMA'!$A:$A,0))</f>
        <v>333.94772061764706</v>
      </c>
      <c r="T160" s="24">
        <f>INDEX('Debêntures ANBIMA'!$P:$P,MATCH(Base!$B164,'Debêntures ANBIMA'!$A:$A,0))</f>
        <v>0.70859317355091667</v>
      </c>
    </row>
    <row r="161" spans="1:20" x14ac:dyDescent="0.35">
      <c r="A161">
        <f>YEAR(B161)</f>
        <v>2017</v>
      </c>
      <c r="B161" s="12">
        <f>DATE(YEAR(G161),MONTH(G161),DAY(1))</f>
        <v>43070</v>
      </c>
      <c r="C161">
        <f>IF(E161&lt;&gt;E160,C160+1,C160)</f>
        <v>22</v>
      </c>
      <c r="D161" s="6" t="s">
        <v>102</v>
      </c>
      <c r="E161" s="6" t="s">
        <v>99</v>
      </c>
      <c r="F161" s="6" t="s">
        <v>233</v>
      </c>
      <c r="G161" s="1">
        <v>43080</v>
      </c>
      <c r="H161" s="1" t="s">
        <v>101</v>
      </c>
      <c r="I161" s="7">
        <f>IF(H161-G161&gt;(365*5),1,0)</f>
        <v>1</v>
      </c>
      <c r="J161" s="22">
        <v>1</v>
      </c>
      <c r="K161" s="9">
        <f>IF($N161="USD",INDEX('Dólar Spot'!$C:$C,MATCH(Base!$G165,'Dólar Spot'!$A:$A,0)),"")</f>
        <v>2.4064000000000001</v>
      </c>
      <c r="L161" s="8">
        <v>650000000</v>
      </c>
      <c r="M161" s="7">
        <f>IF(N161="USD",L161*K161/1000000,L161/1000000)</f>
        <v>1564.16</v>
      </c>
      <c r="N161" s="6" t="s">
        <v>16</v>
      </c>
      <c r="O161" s="9" t="str" cm="1">
        <f t="array" ref="O161">INDEX(Ratings!$B$2:$L$42,_xlfn.XMATCH(Base!E165,Ratings!$A$2:$A$42),_xlfn.XMATCH(YEAR(Base!G165),Ratings!$B$1:$L$1))</f>
        <v>B-</v>
      </c>
      <c r="P161">
        <f>IF(AND(O161&lt;&gt;"BBB-",O161&lt;&gt;"BBB",O161&lt;&gt;"BBB+"),0,1)</f>
        <v>0</v>
      </c>
      <c r="Q161" s="7">
        <f>INDEX('Bonds ANBIMA'!$F:$F,MATCH(Base!$B165,'Bonds ANBIMA'!$A:$A,0))</f>
        <v>2037.4124304985339</v>
      </c>
      <c r="R161" s="21">
        <f>INDEX('Bonds ANBIMA'!$H:$H,MATCH(Base!$B165,'Bonds ANBIMA'!$A:$A,0))</f>
        <v>0.7592592592592593</v>
      </c>
      <c r="S161" s="7">
        <f>INDEX('Debêntures ANBIMA'!$O:$O,MATCH(Base!$B165,'Debêntures ANBIMA'!$A:$A,0))</f>
        <v>256.3813001574074</v>
      </c>
      <c r="T161" s="24">
        <f>INDEX('Debêntures ANBIMA'!$P:$P,MATCH(Base!$B165,'Debêntures ANBIMA'!$A:$A,0))</f>
        <v>0.64091239261671062</v>
      </c>
    </row>
    <row r="162" spans="1:20" x14ac:dyDescent="0.35">
      <c r="A162">
        <f>YEAR(B162)</f>
        <v>2020</v>
      </c>
      <c r="B162" s="12">
        <f>DATE(YEAR(G162),MONTH(G162),DAY(1))</f>
        <v>44166</v>
      </c>
      <c r="C162">
        <f>IF(E162&lt;&gt;E161,C161+1,C161)</f>
        <v>22</v>
      </c>
      <c r="D162" s="6" t="s">
        <v>102</v>
      </c>
      <c r="E162" s="6" t="s">
        <v>99</v>
      </c>
      <c r="F162" s="6" t="s">
        <v>233</v>
      </c>
      <c r="G162" s="1">
        <v>44188</v>
      </c>
      <c r="H162" s="1" t="s">
        <v>103</v>
      </c>
      <c r="I162" s="7">
        <f>IF(H162-G162&gt;(365*5),1,0)</f>
        <v>1</v>
      </c>
      <c r="J162" s="22">
        <v>1</v>
      </c>
      <c r="K162" s="9">
        <f>IF($N162="USD",INDEX('Dólar Spot'!$C:$C,MATCH(Base!$G166,'Dólar Spot'!$A:$A,0)),"")</f>
        <v>1.593</v>
      </c>
      <c r="L162" s="8">
        <v>650000000</v>
      </c>
      <c r="M162" s="7">
        <f>IF(N162="USD",L162*K162/1000000,L162/1000000)</f>
        <v>1035.45</v>
      </c>
      <c r="N162" s="6" t="s">
        <v>16</v>
      </c>
      <c r="O162" s="9" t="str" cm="1">
        <f t="array" ref="O162">INDEX(Ratings!$B$2:$L$42,_xlfn.XMATCH(Base!E166,Ratings!$A$2:$A$42),_xlfn.XMATCH(YEAR(Base!G166),Ratings!$B$1:$L$1))</f>
        <v>BB-</v>
      </c>
      <c r="P162">
        <f>IF(AND(O162&lt;&gt;"BBB-",O162&lt;&gt;"BBB",O162&lt;&gt;"BBB+"),0,1)</f>
        <v>0</v>
      </c>
      <c r="Q162" s="7">
        <f>INDEX('Bonds ANBIMA'!$F:$F,MATCH(Base!$B166,'Bonds ANBIMA'!$A:$A,0))</f>
        <v>1408.4616384615385</v>
      </c>
      <c r="R162" s="21">
        <f>INDEX('Bonds ANBIMA'!$H:$H,MATCH(Base!$B166,'Bonds ANBIMA'!$A:$A,0))</f>
        <v>0.5862068965517242</v>
      </c>
      <c r="S162" s="7">
        <f>INDEX('Debêntures ANBIMA'!$O:$O,MATCH(Base!$B166,'Debêntures ANBIMA'!$A:$A,0))</f>
        <v>558.13793103448279</v>
      </c>
      <c r="T162" s="24">
        <f>INDEX('Debêntures ANBIMA'!$P:$P,MATCH(Base!$B166,'Debêntures ANBIMA'!$A:$A,0))</f>
        <v>0.95063635240331146</v>
      </c>
    </row>
    <row r="163" spans="1:20" x14ac:dyDescent="0.35">
      <c r="A163">
        <f>YEAR(B163)</f>
        <v>2021</v>
      </c>
      <c r="B163" s="12">
        <f>DATE(YEAR(G163),MONTH(G163),DAY(1))</f>
        <v>44317</v>
      </c>
      <c r="C163">
        <f>IF(E163&lt;&gt;E162,C162+1,C162)</f>
        <v>22</v>
      </c>
      <c r="D163" s="6" t="s">
        <v>102</v>
      </c>
      <c r="E163" s="6" t="s">
        <v>99</v>
      </c>
      <c r="F163" s="6" t="s">
        <v>233</v>
      </c>
      <c r="G163" s="1">
        <v>44327</v>
      </c>
      <c r="H163" s="1" t="s">
        <v>103</v>
      </c>
      <c r="I163" s="7">
        <f>IF(H163-G163&gt;(365*5),1,0)</f>
        <v>1</v>
      </c>
      <c r="J163" s="22">
        <v>1</v>
      </c>
      <c r="K163" s="9">
        <f>IF($N163="USD",INDEX('Dólar Spot'!$C:$C,MATCH(Base!$G167,'Dólar Spot'!$A:$A,0)),"")</f>
        <v>4.1165000000000003</v>
      </c>
      <c r="L163" s="8">
        <v>300000000</v>
      </c>
      <c r="M163" s="7">
        <f>IF(N163="USD",L163*K163/1000000,L163/1000000)</f>
        <v>1234.95</v>
      </c>
      <c r="N163" s="6" t="s">
        <v>16</v>
      </c>
      <c r="O163" s="9" t="str" cm="1">
        <f t="array" ref="O163">INDEX(Ratings!$B$2:$L$42,_xlfn.XMATCH(Base!E167,Ratings!$A$2:$A$42),_xlfn.XMATCH(YEAR(Base!G167),Ratings!$B$1:$L$1))</f>
        <v>B-</v>
      </c>
      <c r="P163">
        <f>IF(AND(O163&lt;&gt;"BBB-",O163&lt;&gt;"BBB",O163&lt;&gt;"BBB+"),0,1)</f>
        <v>0</v>
      </c>
      <c r="Q163" s="7">
        <f>INDEX('Bonds ANBIMA'!$F:$F,MATCH(Base!$B167,'Bonds ANBIMA'!$A:$A,0))</f>
        <v>3645.236231292517</v>
      </c>
      <c r="R163" s="21">
        <f>INDEX('Bonds ANBIMA'!$H:$H,MATCH(Base!$B167,'Bonds ANBIMA'!$A:$A,0))</f>
        <v>0.85714285714285721</v>
      </c>
      <c r="S163" s="7">
        <f>INDEX('Debêntures ANBIMA'!$O:$O,MATCH(Base!$B167,'Debêntures ANBIMA'!$A:$A,0))</f>
        <v>228.75588888888888</v>
      </c>
      <c r="T163" s="24">
        <f>INDEX('Debêntures ANBIMA'!$P:$P,MATCH(Base!$B167,'Debêntures ANBIMA'!$A:$A,0))</f>
        <v>0.40374409434614222</v>
      </c>
    </row>
    <row r="164" spans="1:20" x14ac:dyDescent="0.35">
      <c r="A164">
        <f>YEAR(B164)</f>
        <v>2021</v>
      </c>
      <c r="B164" s="12">
        <f>DATE(YEAR(G164),MONTH(G164),DAY(1))</f>
        <v>44440</v>
      </c>
      <c r="C164">
        <f>IF(E164&lt;&gt;E163,C163+1,C163)</f>
        <v>22</v>
      </c>
      <c r="D164" s="6" t="s">
        <v>102</v>
      </c>
      <c r="E164" s="6" t="s">
        <v>99</v>
      </c>
      <c r="F164" s="6" t="s">
        <v>233</v>
      </c>
      <c r="G164" s="1">
        <v>44467</v>
      </c>
      <c r="H164" s="1" t="s">
        <v>103</v>
      </c>
      <c r="I164" s="7">
        <f>IF(H164-G164&gt;(365*5),1,0)</f>
        <v>0</v>
      </c>
      <c r="J164" s="22">
        <v>1</v>
      </c>
      <c r="K164" s="9" t="e">
        <f>IF($N164="USD",INDEX('Dólar Spot'!$C:$C,MATCH(Base!$G168,'Dólar Spot'!$A:$A,0)),"")</f>
        <v>#N/A</v>
      </c>
      <c r="L164" s="8">
        <v>150000000</v>
      </c>
      <c r="M164" s="7" t="e">
        <f>IF(N164="USD",L164*K164/1000000,L164/1000000)</f>
        <v>#N/A</v>
      </c>
      <c r="N164" s="6" t="s">
        <v>16</v>
      </c>
      <c r="O164" s="9" t="str" cm="1">
        <f t="array" ref="O164">INDEX(Ratings!$B$2:$L$42,_xlfn.XMATCH(Base!E168,Ratings!$A$2:$A$42),_xlfn.XMATCH(YEAR(Base!G168),Ratings!$B$1:$L$1))</f>
        <v>B</v>
      </c>
      <c r="P164">
        <f>IF(AND(O164&lt;&gt;"BBB-",O164&lt;&gt;"BBB",O164&lt;&gt;"BBB+"),0,1)</f>
        <v>0</v>
      </c>
      <c r="Q164" s="7">
        <f>INDEX('Bonds ANBIMA'!$F:$F,MATCH(Base!$B168,'Bonds ANBIMA'!$A:$A,0))</f>
        <v>1878.9022727272729</v>
      </c>
      <c r="R164" s="21">
        <f>INDEX('Bonds ANBIMA'!$H:$H,MATCH(Base!$B168,'Bonds ANBIMA'!$A:$A,0))</f>
        <v>0.76190476190476186</v>
      </c>
      <c r="S164" s="7">
        <f>INDEX('Debêntures ANBIMA'!$O:$O,MATCH(Base!$B168,'Debêntures ANBIMA'!$A:$A,0))</f>
        <v>209.83</v>
      </c>
      <c r="T164" s="24">
        <f>INDEX('Debêntures ANBIMA'!$P:$P,MATCH(Base!$B168,'Debêntures ANBIMA'!$A:$A,0))</f>
        <v>0.84594032589608081</v>
      </c>
    </row>
    <row r="165" spans="1:20" x14ac:dyDescent="0.35">
      <c r="A165">
        <f>YEAR(B165)</f>
        <v>2014</v>
      </c>
      <c r="B165" s="12">
        <f>DATE(YEAR(G165),MONTH(G165),DAY(1))</f>
        <v>41883</v>
      </c>
      <c r="C165">
        <f>IF(E165&lt;&gt;E164,C164+1,C164)</f>
        <v>22</v>
      </c>
      <c r="D165" s="6" t="s">
        <v>102</v>
      </c>
      <c r="E165" s="6" t="s">
        <v>99</v>
      </c>
      <c r="F165" s="6" t="s">
        <v>233</v>
      </c>
      <c r="G165" s="1">
        <v>41906</v>
      </c>
      <c r="H165" s="1" t="s">
        <v>104</v>
      </c>
      <c r="I165" s="7">
        <f>IF(H165-G165&gt;(365*5),1,0)</f>
        <v>1</v>
      </c>
      <c r="J165" s="22">
        <v>1</v>
      </c>
      <c r="K165" s="9">
        <f>IF($N165="USD",INDEX('Dólar Spot'!$C:$C,MATCH(Base!$G169,'Dólar Spot'!$A:$A,0)),"")</f>
        <v>5.5660999999999996</v>
      </c>
      <c r="L165" s="8">
        <v>325000000</v>
      </c>
      <c r="M165" s="7">
        <f>IF(N165="USD",L165*K165/1000000,L165/1000000)</f>
        <v>1808.9824999999998</v>
      </c>
      <c r="N165" s="6" t="s">
        <v>16</v>
      </c>
      <c r="O165" s="9" t="str" cm="1">
        <f t="array" ref="O165">INDEX(Ratings!$B$2:$L$42,_xlfn.XMATCH(Base!E169,Ratings!$A$2:$A$42),_xlfn.XMATCH(YEAR(Base!G169),Ratings!$B$1:$L$1))</f>
        <v>CCC+</v>
      </c>
      <c r="P165">
        <f>IF(AND(O165&lt;&gt;"BBB-",O165&lt;&gt;"BBB",O165&lt;&gt;"BBB+"),0,1)</f>
        <v>0</v>
      </c>
      <c r="Q165" s="7">
        <f>INDEX('Bonds ANBIMA'!$F:$F,MATCH(Base!$B169,'Bonds ANBIMA'!$A:$A,0))</f>
        <v>830.90625000000023</v>
      </c>
      <c r="R165" s="21">
        <f>INDEX('Bonds ANBIMA'!$H:$H,MATCH(Base!$B169,'Bonds ANBIMA'!$A:$A,0))</f>
        <v>0.72727272727272729</v>
      </c>
      <c r="S165" s="7">
        <f>INDEX('Debêntures ANBIMA'!$O:$O,MATCH(Base!$B169,'Debêntures ANBIMA'!$A:$A,0))</f>
        <v>433.14238554216865</v>
      </c>
      <c r="T165" s="24">
        <f>INDEX('Debêntures ANBIMA'!$P:$P,MATCH(Base!$B169,'Debêntures ANBIMA'!$A:$A,0))</f>
        <v>0.92091969370314131</v>
      </c>
    </row>
    <row r="166" spans="1:20" x14ac:dyDescent="0.35">
      <c r="A166">
        <f>YEAR(B166)</f>
        <v>2011</v>
      </c>
      <c r="B166" s="12">
        <f>DATE(YEAR(G166),MONTH(G166),DAY(1))</f>
        <v>40695</v>
      </c>
      <c r="C166">
        <f>IF(E166&lt;&gt;E165,C165+1,C165)</f>
        <v>22</v>
      </c>
      <c r="D166" s="6" t="s">
        <v>315</v>
      </c>
      <c r="E166" s="6" t="s">
        <v>99</v>
      </c>
      <c r="F166" s="6" t="s">
        <v>346</v>
      </c>
      <c r="G166" s="1">
        <v>40704</v>
      </c>
      <c r="H166" s="1">
        <v>42896</v>
      </c>
      <c r="I166" s="7">
        <f>IF(H166-G166&gt;(365*5),1,0)</f>
        <v>1</v>
      </c>
      <c r="J166" s="22">
        <v>1</v>
      </c>
      <c r="K166" s="9" t="str">
        <f>IF($N166="USD",INDEX('Dólar Spot'!$C:$C,MATCH(Base!$G171,'Dólar Spot'!$A:$A,0)),"")</f>
        <v/>
      </c>
      <c r="L166" s="8">
        <v>500000000</v>
      </c>
      <c r="M166" s="7">
        <f>IF(N166="USD",L166*K166/1000000,L166/1000000)</f>
        <v>500</v>
      </c>
      <c r="N166" s="6" t="s">
        <v>348</v>
      </c>
      <c r="O166" s="9" t="str" cm="1">
        <f t="array" ref="O166">INDEX(Ratings!$B$2:$L$42,_xlfn.XMATCH(Base!E171,Ratings!$A$2:$A$42),_xlfn.XMATCH(YEAR(Base!G171),Ratings!$B$1:$L$1))</f>
        <v>B-</v>
      </c>
      <c r="P166">
        <f>IF(AND(O166&lt;&gt;"BBB-",O166&lt;&gt;"BBB",O166&lt;&gt;"BBB+"),0,1)</f>
        <v>0</v>
      </c>
      <c r="Q166" s="7">
        <f>INDEX('Bonds ANBIMA'!$F:$F,MATCH(Base!$B171,'Bonds ANBIMA'!$A:$A,0))</f>
        <v>2090.3808851851854</v>
      </c>
      <c r="R166" s="21">
        <f>INDEX('Bonds ANBIMA'!$H:$H,MATCH(Base!$B171,'Bonds ANBIMA'!$A:$A,0))</f>
        <v>0.61224489795918369</v>
      </c>
      <c r="S166" s="7">
        <f>INDEX('Debêntures ANBIMA'!$O:$O,MATCH(Base!$B171,'Debêntures ANBIMA'!$A:$A,0))</f>
        <v>1130.6986956521739</v>
      </c>
      <c r="T166" s="24">
        <f>INDEX('Debêntures ANBIMA'!$P:$P,MATCH(Base!$B171,'Debêntures ANBIMA'!$A:$A,0))</f>
        <v>0.98692612916907474</v>
      </c>
    </row>
    <row r="167" spans="1:20" x14ac:dyDescent="0.35">
      <c r="A167">
        <f>YEAR(B167)</f>
        <v>2015</v>
      </c>
      <c r="B167" s="12">
        <f>DATE(YEAR(G167),MONTH(G167),DAY(1))</f>
        <v>42248</v>
      </c>
      <c r="C167">
        <f>IF(E167&lt;&gt;E166,C166+1,C166)</f>
        <v>22</v>
      </c>
      <c r="D167" s="6" t="s">
        <v>315</v>
      </c>
      <c r="E167" s="6" t="s">
        <v>99</v>
      </c>
      <c r="F167" s="6" t="s">
        <v>346</v>
      </c>
      <c r="G167" s="1">
        <v>42276</v>
      </c>
      <c r="H167" s="1">
        <v>43737</v>
      </c>
      <c r="I167" s="7">
        <f>IF(H167-G167&gt;(365*5),1,0)</f>
        <v>0</v>
      </c>
      <c r="J167" s="22">
        <v>1</v>
      </c>
      <c r="K167" s="9" t="str">
        <f>IF($N167="USD",INDEX('Dólar Spot'!$C:$C,MATCH(Base!$G172,'Dólar Spot'!$A:$A,0)),"")</f>
        <v/>
      </c>
      <c r="L167" s="8">
        <v>1050000000</v>
      </c>
      <c r="M167" s="7">
        <f>IF(N167="USD",L167*K167/1000000,L167/1000000)</f>
        <v>1050</v>
      </c>
      <c r="N167" s="6" t="s">
        <v>348</v>
      </c>
      <c r="O167" s="9" t="str" cm="1">
        <f t="array" ref="O167">INDEX(Ratings!$B$2:$L$42,_xlfn.XMATCH(Base!E172,Ratings!$A$2:$A$42),_xlfn.XMATCH(YEAR(Base!G172),Ratings!$B$1:$L$1))</f>
        <v>BBB-</v>
      </c>
      <c r="P167">
        <f>IF(AND(O167&lt;&gt;"BBB-",O167&lt;&gt;"BBB",O167&lt;&gt;"BBB+"),0,1)</f>
        <v>1</v>
      </c>
      <c r="Q167" s="7">
        <f>INDEX('Bonds ANBIMA'!$F:$F,MATCH(Base!$B172,'Bonds ANBIMA'!$A:$A,0))</f>
        <v>1949.5917653225804</v>
      </c>
      <c r="R167" s="21">
        <f>INDEX('Bonds ANBIMA'!$H:$H,MATCH(Base!$B172,'Bonds ANBIMA'!$A:$A,0))</f>
        <v>0.7592592592592593</v>
      </c>
      <c r="S167" s="7">
        <f>INDEX('Debêntures ANBIMA'!$O:$O,MATCH(Base!$B172,'Debêntures ANBIMA'!$A:$A,0))</f>
        <v>893.49106666666671</v>
      </c>
      <c r="T167" s="24">
        <f>INDEX('Debêntures ANBIMA'!$P:$P,MATCH(Base!$B172,'Debêntures ANBIMA'!$A:$A,0))</f>
        <v>0.93718775365154505</v>
      </c>
    </row>
    <row r="168" spans="1:20" x14ac:dyDescent="0.35">
      <c r="A168">
        <f>YEAR(B168)</f>
        <v>2018</v>
      </c>
      <c r="B168" s="12">
        <f>DATE(YEAR(G168),MONTH(G168),DAY(1))</f>
        <v>43374</v>
      </c>
      <c r="C168">
        <f>IF(E168&lt;&gt;E167,C167+1,C167)</f>
        <v>22</v>
      </c>
      <c r="D168" s="6" t="s">
        <v>315</v>
      </c>
      <c r="E168" s="6" t="s">
        <v>99</v>
      </c>
      <c r="F168" s="6" t="s">
        <v>346</v>
      </c>
      <c r="G168" s="1">
        <v>43401</v>
      </c>
      <c r="H168" s="1">
        <v>45592</v>
      </c>
      <c r="I168" s="7">
        <f>IF(H168-G168&gt;(365*5),1,0)</f>
        <v>1</v>
      </c>
      <c r="J168" s="22">
        <v>1</v>
      </c>
      <c r="K168" s="9" t="str">
        <f>IF($N168="USD",INDEX('Dólar Spot'!$C:$C,MATCH(Base!$G173,'Dólar Spot'!$A:$A,0)),"")</f>
        <v/>
      </c>
      <c r="L168" s="8">
        <v>221870000</v>
      </c>
      <c r="M168" s="7">
        <f>IF(N168="USD",L168*K168/1000000,L168/1000000)</f>
        <v>221.87</v>
      </c>
      <c r="N168" s="6" t="s">
        <v>348</v>
      </c>
      <c r="O168" s="9" t="str" cm="1">
        <f t="array" ref="O168">INDEX(Ratings!$B$2:$L$42,_xlfn.XMATCH(Base!E173,Ratings!$A$2:$A$42),_xlfn.XMATCH(YEAR(Base!G173),Ratings!$B$1:$L$1))</f>
        <v>BBB-</v>
      </c>
      <c r="P168">
        <f>IF(AND(O168&lt;&gt;"BBB-",O168&lt;&gt;"BBB",O168&lt;&gt;"BBB+"),0,1)</f>
        <v>1</v>
      </c>
      <c r="Q168" s="7">
        <f>INDEX('Bonds ANBIMA'!$F:$F,MATCH(Base!$B173,'Bonds ANBIMA'!$A:$A,0))</f>
        <v>1939.5944668202767</v>
      </c>
      <c r="R168" s="21">
        <f>INDEX('Bonds ANBIMA'!$H:$H,MATCH(Base!$B173,'Bonds ANBIMA'!$A:$A,0))</f>
        <v>0.7592592592592593</v>
      </c>
      <c r="S168" s="7">
        <f>INDEX('Debêntures ANBIMA'!$O:$O,MATCH(Base!$B173,'Debêntures ANBIMA'!$A:$A,0))</f>
        <v>215.26190476190476</v>
      </c>
      <c r="T168" s="24">
        <f>INDEX('Debêntures ANBIMA'!$P:$P,MATCH(Base!$B173,'Debêntures ANBIMA'!$A:$A,0))</f>
        <v>0.85643181064041585</v>
      </c>
    </row>
    <row r="169" spans="1:20" x14ac:dyDescent="0.35">
      <c r="A169">
        <f>YEAR(B169)</f>
        <v>2021</v>
      </c>
      <c r="B169" s="12">
        <f>DATE(YEAR(G169),MONTH(G169),DAY(1))</f>
        <v>44470</v>
      </c>
      <c r="C169">
        <f>IF(E169&lt;&gt;E168,C168+1,C168)</f>
        <v>22</v>
      </c>
      <c r="D169" s="6" t="s">
        <v>315</v>
      </c>
      <c r="E169" s="6" t="s">
        <v>99</v>
      </c>
      <c r="F169" s="6" t="s">
        <v>346</v>
      </c>
      <c r="G169" s="1">
        <v>44496</v>
      </c>
      <c r="H169" s="1">
        <v>45592</v>
      </c>
      <c r="I169" s="7">
        <f>IF(H169-G169&gt;(365*5),1,0)</f>
        <v>0</v>
      </c>
      <c r="J169" s="22">
        <v>1</v>
      </c>
      <c r="K169" s="9" t="str">
        <f>IF($N169="USD",INDEX('Dólar Spot'!$C:$C,MATCH(Base!$G174,'Dólar Spot'!$A:$A,0)),"")</f>
        <v/>
      </c>
      <c r="L169" s="8">
        <v>610217000</v>
      </c>
      <c r="M169" s="7">
        <f>IF(N169="USD",L169*K169/1000000,L169/1000000)</f>
        <v>610.21699999999998</v>
      </c>
      <c r="N169" s="6" t="s">
        <v>348</v>
      </c>
      <c r="O169" s="9" t="str" cm="1">
        <f t="array" ref="O169">INDEX(Ratings!$B$2:$L$42,_xlfn.XMATCH(Base!E174,Ratings!$A$2:$A$42),_xlfn.XMATCH(YEAR(Base!G174),Ratings!$B$1:$L$1))</f>
        <v>BBB-</v>
      </c>
      <c r="P169">
        <f>IF(AND(O169&lt;&gt;"BBB-",O169&lt;&gt;"BBB",O169&lt;&gt;"BBB+"),0,1)</f>
        <v>1</v>
      </c>
      <c r="Q169" s="7">
        <f>INDEX('Bonds ANBIMA'!$F:$F,MATCH(Base!$B174,'Bonds ANBIMA'!$A:$A,0))</f>
        <v>1949.5917653225804</v>
      </c>
      <c r="R169" s="21">
        <f>INDEX('Bonds ANBIMA'!$H:$H,MATCH(Base!$B174,'Bonds ANBIMA'!$A:$A,0))</f>
        <v>0.7592592592592593</v>
      </c>
      <c r="S169" s="7">
        <f>INDEX('Debêntures ANBIMA'!$O:$O,MATCH(Base!$B174,'Debêntures ANBIMA'!$A:$A,0))</f>
        <v>893.49106666666671</v>
      </c>
      <c r="T169" s="24">
        <f>INDEX('Debêntures ANBIMA'!$P:$P,MATCH(Base!$B174,'Debêntures ANBIMA'!$A:$A,0))</f>
        <v>0.93718775365154505</v>
      </c>
    </row>
    <row r="170" spans="1:20" x14ac:dyDescent="0.35">
      <c r="A170">
        <f>YEAR(B170)</f>
        <v>2018</v>
      </c>
      <c r="B170" s="12">
        <f>DATE(YEAR(G170),MONTH(G170),DAY(1))</f>
        <v>43374</v>
      </c>
      <c r="C170">
        <f>IF(E170&lt;&gt;E169,C169+1,C169)</f>
        <v>22</v>
      </c>
      <c r="D170" s="6" t="s">
        <v>315</v>
      </c>
      <c r="E170" s="6" t="s">
        <v>99</v>
      </c>
      <c r="F170" s="6" t="s">
        <v>346</v>
      </c>
      <c r="G170" s="1">
        <v>43401</v>
      </c>
      <c r="H170" s="1">
        <v>45592</v>
      </c>
      <c r="I170" s="7">
        <f>IF(H170-G170&gt;(365*5),1,0)</f>
        <v>1</v>
      </c>
      <c r="J170" s="22">
        <v>1</v>
      </c>
      <c r="K170" s="9" t="str">
        <f>IF($N170="USD",INDEX('Dólar Spot'!$C:$C,MATCH(Base!$G175,'Dólar Spot'!$A:$A,0)),"")</f>
        <v/>
      </c>
      <c r="L170" s="8">
        <v>221880000</v>
      </c>
      <c r="M170" s="7">
        <f>IF(N170="USD",L170*K170/1000000,L170/1000000)</f>
        <v>221.88</v>
      </c>
      <c r="N170" s="6" t="s">
        <v>348</v>
      </c>
      <c r="O170" s="9" t="str" cm="1">
        <f t="array" ref="O170">INDEX(Ratings!$B$2:$L$42,_xlfn.XMATCH(Base!E175,Ratings!$A$2:$A$42),_xlfn.XMATCH(YEAR(Base!G175),Ratings!$B$1:$L$1))</f>
        <v>BBB-</v>
      </c>
      <c r="P170">
        <f>IF(AND(O170&lt;&gt;"BBB-",O170&lt;&gt;"BBB",O170&lt;&gt;"BBB+"),0,1)</f>
        <v>1</v>
      </c>
      <c r="Q170" s="7">
        <f>INDEX('Bonds ANBIMA'!$F:$F,MATCH(Base!$B175,'Bonds ANBIMA'!$A:$A,0))</f>
        <v>7893.9774999999981</v>
      </c>
      <c r="R170" s="21">
        <f>INDEX('Bonds ANBIMA'!$H:$H,MATCH(Base!$B175,'Bonds ANBIMA'!$A:$A,0))</f>
        <v>0.83870967741935487</v>
      </c>
      <c r="S170" s="7">
        <f>INDEX('Debêntures ANBIMA'!$O:$O,MATCH(Base!$B175,'Debêntures ANBIMA'!$A:$A,0))</f>
        <v>292.23871243636364</v>
      </c>
      <c r="T170" s="24">
        <f>INDEX('Debêntures ANBIMA'!$P:$P,MATCH(Base!$B175,'Debêntures ANBIMA'!$A:$A,0))</f>
        <v>0.87974551685015945</v>
      </c>
    </row>
    <row r="171" spans="1:20" x14ac:dyDescent="0.35">
      <c r="A171">
        <f>YEAR(B171)</f>
        <v>2013</v>
      </c>
      <c r="B171" s="12">
        <f>DATE(YEAR(G171),MONTH(G171),DAY(1))</f>
        <v>41306</v>
      </c>
      <c r="C171">
        <f>IF(E171&lt;&gt;E170,C170+1,C170)</f>
        <v>22</v>
      </c>
      <c r="D171" s="6" t="s">
        <v>105</v>
      </c>
      <c r="E171" s="6" t="s">
        <v>99</v>
      </c>
      <c r="F171" s="6" t="s">
        <v>233</v>
      </c>
      <c r="G171" s="1">
        <v>41313</v>
      </c>
      <c r="H171" s="1" t="s">
        <v>106</v>
      </c>
      <c r="I171" s="7">
        <f>IF(H171-G171&gt;(365*5),1,0)</f>
        <v>1</v>
      </c>
      <c r="J171" s="22">
        <v>1</v>
      </c>
      <c r="K171" s="9" t="e">
        <f>IF($N171="USD",INDEX('Dólar Spot'!$C:$C,MATCH(Base!$G170,'Dólar Spot'!$A:$A,0)),"")</f>
        <v>#N/A</v>
      </c>
      <c r="L171" s="8">
        <v>200000000</v>
      </c>
      <c r="M171" s="7" t="e">
        <f>IF(N171="USD",L171*K171/1000000,L171/1000000)</f>
        <v>#N/A</v>
      </c>
      <c r="N171" s="6" t="s">
        <v>16</v>
      </c>
      <c r="O171" s="9" t="str" cm="1">
        <f t="array" ref="O171">INDEX(Ratings!$B$2:$L$42,_xlfn.XMATCH(Base!E170,Ratings!$A$2:$A$42),_xlfn.XMATCH(YEAR(Base!G170),Ratings!$B$1:$L$1))</f>
        <v>B</v>
      </c>
      <c r="P171">
        <f>IF(AND(O171&lt;&gt;"BBB-",O171&lt;&gt;"BBB",O171&lt;&gt;"BBB+"),0,1)</f>
        <v>0</v>
      </c>
      <c r="Q171" s="7">
        <f>INDEX('Bonds ANBIMA'!$F:$F,MATCH(Base!$B170,'Bonds ANBIMA'!$A:$A,0))</f>
        <v>1878.9022727272729</v>
      </c>
      <c r="R171" s="21">
        <f>INDEX('Bonds ANBIMA'!$H:$H,MATCH(Base!$B170,'Bonds ANBIMA'!$A:$A,0))</f>
        <v>0.76190476190476186</v>
      </c>
      <c r="S171" s="7">
        <f>INDEX('Debêntures ANBIMA'!$O:$O,MATCH(Base!$B170,'Debêntures ANBIMA'!$A:$A,0))</f>
        <v>209.83</v>
      </c>
      <c r="T171" s="24">
        <f>INDEX('Debêntures ANBIMA'!$P:$P,MATCH(Base!$B170,'Debêntures ANBIMA'!$A:$A,0))</f>
        <v>0.84594032589608081</v>
      </c>
    </row>
    <row r="172" spans="1:20" x14ac:dyDescent="0.35">
      <c r="A172">
        <f>YEAR(B172)</f>
        <v>2014</v>
      </c>
      <c r="B172" s="12">
        <f>DATE(YEAR(G172),MONTH(G172),DAY(1))</f>
        <v>41730</v>
      </c>
      <c r="C172">
        <f>IF(E172&lt;&gt;E171,C171+1,C171)</f>
        <v>23</v>
      </c>
      <c r="D172" s="6" t="s">
        <v>93</v>
      </c>
      <c r="E172" s="6" t="s">
        <v>89</v>
      </c>
      <c r="F172" s="6" t="s">
        <v>233</v>
      </c>
      <c r="G172" s="1">
        <v>41745</v>
      </c>
      <c r="H172" s="1" t="s">
        <v>94</v>
      </c>
      <c r="I172" s="7">
        <f>IF(H172-G172&gt;(365*5),1,0)</f>
        <v>1</v>
      </c>
      <c r="J172" s="22">
        <v>1</v>
      </c>
      <c r="K172" s="9">
        <f>IF($N172="USD",INDEX('Dólar Spot'!$C:$C,MATCH(Base!$G157,'Dólar Spot'!$A:$A,0)),"")</f>
        <v>3.9618000000000002</v>
      </c>
      <c r="L172" s="8">
        <v>500000000</v>
      </c>
      <c r="M172" s="7">
        <f>IF(N172="USD",L172*K172/1000000,L172/1000000)</f>
        <v>1980.9</v>
      </c>
      <c r="N172" s="6" t="s">
        <v>16</v>
      </c>
      <c r="O172" s="9" t="str" cm="1">
        <f t="array" ref="O172">INDEX(Ratings!$B$2:$L$42,_xlfn.XMATCH(Base!E157,Ratings!$A$2:$A$42),_xlfn.XMATCH(YEAR(Base!G157),Ratings!$B$1:$L$1))</f>
        <v>BBB-</v>
      </c>
      <c r="P172">
        <f>IF(AND(O172&lt;&gt;"BBB-",O172&lt;&gt;"BBB",O172&lt;&gt;"BBB+"),0,1)</f>
        <v>1</v>
      </c>
      <c r="Q172" s="7">
        <f>INDEX('Bonds ANBIMA'!$F:$F,MATCH(Base!$B157,'Bonds ANBIMA'!$A:$A,0))</f>
        <v>1000.2295454545454</v>
      </c>
      <c r="R172" s="21">
        <f>INDEX('Bonds ANBIMA'!$H:$H,MATCH(Base!$B157,'Bonds ANBIMA'!$A:$A,0))</f>
        <v>0.84615384615384615</v>
      </c>
      <c r="S172" s="7">
        <f>INDEX('Debêntures ANBIMA'!$O:$O,MATCH(Base!$B157,'Debêntures ANBIMA'!$A:$A,0))</f>
        <v>326.08475806451617</v>
      </c>
      <c r="T172" s="24">
        <f>INDEX('Debêntures ANBIMA'!$P:$P,MATCH(Base!$B157,'Debêntures ANBIMA'!$A:$A,0))</f>
        <v>0.72465429019647709</v>
      </c>
    </row>
    <row r="173" spans="1:20" x14ac:dyDescent="0.35">
      <c r="A173">
        <f>YEAR(B173)</f>
        <v>2014</v>
      </c>
      <c r="B173" s="12">
        <f>DATE(YEAR(G173),MONTH(G173),DAY(1))</f>
        <v>41760</v>
      </c>
      <c r="C173">
        <f>IF(E173&lt;&gt;E172,C172+1,C172)</f>
        <v>23</v>
      </c>
      <c r="D173" s="6" t="s">
        <v>93</v>
      </c>
      <c r="E173" s="6" t="s">
        <v>89</v>
      </c>
      <c r="F173" s="6" t="s">
        <v>233</v>
      </c>
      <c r="G173" s="1">
        <v>41768</v>
      </c>
      <c r="H173" s="1" t="s">
        <v>95</v>
      </c>
      <c r="I173" s="7">
        <f>IF(H173-G173&gt;(365*5),1,0)</f>
        <v>1</v>
      </c>
      <c r="J173" s="22">
        <v>1</v>
      </c>
      <c r="K173" s="9">
        <f>IF($N173="USD",INDEX('Dólar Spot'!$C:$C,MATCH(Base!$G158,'Dólar Spot'!$A:$A,0)),"")</f>
        <v>3.2464</v>
      </c>
      <c r="L173" s="8">
        <v>600000000</v>
      </c>
      <c r="M173" s="7">
        <f>IF(N173="USD",L173*K173/1000000,L173/1000000)</f>
        <v>1947.84</v>
      </c>
      <c r="N173" s="6" t="s">
        <v>16</v>
      </c>
      <c r="O173" s="9" t="str" cm="1">
        <f t="array" ref="O173">INDEX(Ratings!$B$2:$L$42,_xlfn.XMATCH(Base!E158,Ratings!$A$2:$A$42),_xlfn.XMATCH(YEAR(Base!G158),Ratings!$B$1:$L$1))</f>
        <v>BBB-</v>
      </c>
      <c r="P173">
        <f>IF(AND(O173&lt;&gt;"BBB-",O173&lt;&gt;"BBB",O173&lt;&gt;"BBB+"),0,1)</f>
        <v>1</v>
      </c>
      <c r="Q173" s="7">
        <f>INDEX('Bonds ANBIMA'!$F:$F,MATCH(Base!$B158,'Bonds ANBIMA'!$A:$A,0))</f>
        <v>3031.1061904761905</v>
      </c>
      <c r="R173" s="21">
        <f>INDEX('Bonds ANBIMA'!$H:$H,MATCH(Base!$B158,'Bonds ANBIMA'!$A:$A,0))</f>
        <v>0.9</v>
      </c>
      <c r="S173" s="7">
        <f>INDEX('Debêntures ANBIMA'!$O:$O,MATCH(Base!$B158,'Debêntures ANBIMA'!$A:$A,0))</f>
        <v>357.79854054054056</v>
      </c>
      <c r="T173" s="24">
        <f>INDEX('Debêntures ANBIMA'!$P:$P,MATCH(Base!$B158,'Debêntures ANBIMA'!$A:$A,0))</f>
        <v>0.81983307170430497</v>
      </c>
    </row>
    <row r="174" spans="1:20" x14ac:dyDescent="0.35">
      <c r="A174">
        <f>YEAR(B174)</f>
        <v>2014</v>
      </c>
      <c r="B174" s="12">
        <f>DATE(YEAR(G174),MONTH(G174),DAY(1))</f>
        <v>41730</v>
      </c>
      <c r="C174">
        <f>IF(E174&lt;&gt;E173,C173+1,C173)</f>
        <v>23</v>
      </c>
      <c r="D174" s="6" t="s">
        <v>96</v>
      </c>
      <c r="E174" s="6" t="s">
        <v>89</v>
      </c>
      <c r="F174" s="6" t="s">
        <v>233</v>
      </c>
      <c r="G174" s="1">
        <v>41758</v>
      </c>
      <c r="H174" s="1" t="s">
        <v>95</v>
      </c>
      <c r="I174" s="7">
        <f>IF(H174-G174&gt;(365*5),1,0)</f>
        <v>1</v>
      </c>
      <c r="J174" s="22">
        <v>1</v>
      </c>
      <c r="K174" s="9">
        <f>IF($N174="USD",INDEX('Dólar Spot'!$C:$C,MATCH(Base!$G159,'Dólar Spot'!$A:$A,0)),"")</f>
        <v>1.9783999999999999</v>
      </c>
      <c r="L174" s="8">
        <v>600000000</v>
      </c>
      <c r="M174" s="7">
        <f>IF(N174="USD",L174*K174/1000000,L174/1000000)</f>
        <v>1187.04</v>
      </c>
      <c r="N174" s="6" t="s">
        <v>16</v>
      </c>
      <c r="O174" s="9" t="str" cm="1">
        <f t="array" ref="O174">INDEX(Ratings!$B$2:$L$42,_xlfn.XMATCH(Base!E159,Ratings!$A$2:$A$42),_xlfn.XMATCH(YEAR(Base!G159),Ratings!$B$1:$L$1))</f>
        <v>BBB-</v>
      </c>
      <c r="P174">
        <f>IF(AND(O174&lt;&gt;"BBB-",O174&lt;&gt;"BBB",O174&lt;&gt;"BBB+"),0,1)</f>
        <v>1</v>
      </c>
      <c r="Q174" s="7">
        <f>INDEX('Bonds ANBIMA'!$F:$F,MATCH(Base!$B159,'Bonds ANBIMA'!$A:$A,0))</f>
        <v>2121.0625166666664</v>
      </c>
      <c r="R174" s="21">
        <f>INDEX('Bonds ANBIMA'!$H:$H,MATCH(Base!$B159,'Bonds ANBIMA'!$A:$A,0))</f>
        <v>0.61224489795918369</v>
      </c>
      <c r="S174" s="7">
        <f>INDEX('Debêntures ANBIMA'!$O:$O,MATCH(Base!$B159,'Debêntures ANBIMA'!$A:$A,0))</f>
        <v>228.86700000000002</v>
      </c>
      <c r="T174" s="24">
        <f>INDEX('Debêntures ANBIMA'!$P:$P,MATCH(Base!$B159,'Debêntures ANBIMA'!$A:$A,0))</f>
        <v>0.65266362730973404</v>
      </c>
    </row>
    <row r="175" spans="1:20" x14ac:dyDescent="0.35">
      <c r="A175">
        <f>YEAR(B175)</f>
        <v>2019</v>
      </c>
      <c r="B175" s="12">
        <f>DATE(YEAR(G175),MONTH(G175),DAY(1))</f>
        <v>43770</v>
      </c>
      <c r="C175">
        <f>IF(E175&lt;&gt;E174,C174+1,C174)</f>
        <v>23</v>
      </c>
      <c r="D175" s="6" t="s">
        <v>97</v>
      </c>
      <c r="E175" s="6" t="s">
        <v>89</v>
      </c>
      <c r="F175" s="6" t="s">
        <v>233</v>
      </c>
      <c r="G175" s="1">
        <v>43790</v>
      </c>
      <c r="H175" s="1" t="s">
        <v>98</v>
      </c>
      <c r="I175" s="7">
        <f>IF(H175-G175&gt;(365*5),1,0)</f>
        <v>1</v>
      </c>
      <c r="J175" s="22">
        <v>1</v>
      </c>
      <c r="K175" s="9">
        <f>IF($N175="USD",INDEX('Dólar Spot'!$C:$C,MATCH(Base!$G160,'Dólar Spot'!$A:$A,0)),"")</f>
        <v>3.2054</v>
      </c>
      <c r="L175" s="8">
        <v>500000000</v>
      </c>
      <c r="M175" s="7">
        <f>IF(N175="USD",L175*K175/1000000,L175/1000000)</f>
        <v>1602.7</v>
      </c>
      <c r="N175" s="6" t="s">
        <v>16</v>
      </c>
      <c r="O175" s="9" t="str" cm="1">
        <f t="array" ref="O175">INDEX(Ratings!$B$2:$L$42,_xlfn.XMATCH(Base!E160,Ratings!$A$2:$A$42),_xlfn.XMATCH(YEAR(Base!G160),Ratings!$B$1:$L$1))</f>
        <v>B</v>
      </c>
      <c r="P175">
        <f>IF(AND(O175&lt;&gt;"BBB-",O175&lt;&gt;"BBB",O175&lt;&gt;"BBB+"),0,1)</f>
        <v>0</v>
      </c>
      <c r="Q175" s="7">
        <f>INDEX('Bonds ANBIMA'!$F:$F,MATCH(Base!$B160,'Bonds ANBIMA'!$A:$A,0))</f>
        <v>2689.9516111111116</v>
      </c>
      <c r="R175" s="21">
        <f>INDEX('Bonds ANBIMA'!$H:$H,MATCH(Base!$B160,'Bonds ANBIMA'!$A:$A,0))</f>
        <v>0.75</v>
      </c>
      <c r="S175" s="7">
        <f>INDEX('Debêntures ANBIMA'!$O:$O,MATCH(Base!$B160,'Debêntures ANBIMA'!$A:$A,0))</f>
        <v>671.78941666666663</v>
      </c>
      <c r="T175" s="24">
        <f>INDEX('Debêntures ANBIMA'!$P:$P,MATCH(Base!$B160,'Debêntures ANBIMA'!$A:$A,0))</f>
        <v>0.77734496969042943</v>
      </c>
    </row>
    <row r="176" spans="1:20" x14ac:dyDescent="0.35">
      <c r="A176">
        <f>YEAR(B176)</f>
        <v>2021</v>
      </c>
      <c r="B176" s="12">
        <f>DATE(YEAR(G176),MONTH(G176),DAY(1))</f>
        <v>44470</v>
      </c>
      <c r="C176">
        <f>IF(E176&lt;&gt;E175,C175+1,C175)</f>
        <v>24</v>
      </c>
      <c r="D176" s="6" t="s">
        <v>316</v>
      </c>
      <c r="E176" s="6" t="s">
        <v>107</v>
      </c>
      <c r="F176" s="6" t="s">
        <v>346</v>
      </c>
      <c r="G176" s="1">
        <v>44484</v>
      </c>
      <c r="H176" s="1">
        <v>47041</v>
      </c>
      <c r="I176" s="7">
        <f>IF(H176-G176&gt;(365*5),1,0)</f>
        <v>1</v>
      </c>
      <c r="J176" s="6">
        <v>1</v>
      </c>
      <c r="K176" s="9" t="str">
        <f>IF($N176="USD",INDEX('Dólar Spot'!$C:$C,MATCH(Base!$G178,'Dólar Spot'!$A:$A,0)),"")</f>
        <v/>
      </c>
      <c r="L176" s="8">
        <v>280000000</v>
      </c>
      <c r="M176" s="7">
        <f>IF(N176="USD",L176*K176/1000000,L176/1000000)</f>
        <v>280</v>
      </c>
      <c r="N176" s="6" t="s">
        <v>347</v>
      </c>
      <c r="O176" s="9" t="str" cm="1">
        <f t="array" ref="O176">INDEX(Ratings!$B$2:$L$42,_xlfn.XMATCH(Base!E178,Ratings!$A$2:$A$42),_xlfn.XMATCH(YEAR(Base!G178),Ratings!$B$1:$L$1))</f>
        <v>BB</v>
      </c>
      <c r="P176">
        <f>IF(AND(O176&lt;&gt;"BBB-",O176&lt;&gt;"BBB",O176&lt;&gt;"BBB+"),0,1)</f>
        <v>0</v>
      </c>
      <c r="Q176" s="7">
        <f>INDEX('Bonds ANBIMA'!$F:$F,MATCH(Base!$B178,'Bonds ANBIMA'!$A:$A,0))</f>
        <v>1861.7137152777777</v>
      </c>
      <c r="R176" s="21">
        <f>INDEX('Bonds ANBIMA'!$H:$H,MATCH(Base!$B178,'Bonds ANBIMA'!$A:$A,0))</f>
        <v>0.9</v>
      </c>
      <c r="S176" s="7">
        <f>INDEX('Debêntures ANBIMA'!$O:$O,MATCH(Base!$B178,'Debêntures ANBIMA'!$A:$A,0))</f>
        <v>444.40800000000002</v>
      </c>
      <c r="T176" s="24">
        <f>INDEX('Debêntures ANBIMA'!$P:$P,MATCH(Base!$B178,'Debêntures ANBIMA'!$A:$A,0))</f>
        <v>0.65436492689733272</v>
      </c>
    </row>
    <row r="177" spans="1:20" x14ac:dyDescent="0.35">
      <c r="A177">
        <f>YEAR(B177)</f>
        <v>2021</v>
      </c>
      <c r="B177" s="12">
        <f>DATE(YEAR(G177),MONTH(G177),DAY(1))</f>
        <v>44470</v>
      </c>
      <c r="C177">
        <f>IF(E177&lt;&gt;E176,C176+1,C176)</f>
        <v>24</v>
      </c>
      <c r="D177" s="6" t="s">
        <v>316</v>
      </c>
      <c r="E177" s="6" t="s">
        <v>107</v>
      </c>
      <c r="F177" s="6" t="s">
        <v>346</v>
      </c>
      <c r="G177" s="1">
        <v>44484</v>
      </c>
      <c r="H177" s="1">
        <v>48136</v>
      </c>
      <c r="I177" s="7">
        <f>IF(H177-G177&gt;(365*5),1,0)</f>
        <v>1</v>
      </c>
      <c r="J177" s="6">
        <v>1</v>
      </c>
      <c r="K177" s="9" t="str">
        <f>IF($N177="USD",INDEX('Dólar Spot'!$C:$C,MATCH(Base!$G179,'Dólar Spot'!$A:$A,0)),"")</f>
        <v/>
      </c>
      <c r="L177" s="8">
        <v>100000000</v>
      </c>
      <c r="M177" s="7">
        <f>IF(N177="USD",L177*K177/1000000,L177/1000000)</f>
        <v>100</v>
      </c>
      <c r="N177" s="6" t="s">
        <v>347</v>
      </c>
      <c r="O177" s="9" t="str" cm="1">
        <f t="array" ref="O177">INDEX(Ratings!$B$2:$L$42,_xlfn.XMATCH(Base!E179,Ratings!$A$2:$A$42),_xlfn.XMATCH(YEAR(Base!G179),Ratings!$B$1:$L$1))</f>
        <v>BB</v>
      </c>
      <c r="P177">
        <f>IF(AND(O177&lt;&gt;"BBB-",O177&lt;&gt;"BBB",O177&lt;&gt;"BBB+"),0,1)</f>
        <v>0</v>
      </c>
      <c r="Q177" s="7">
        <f>INDEX('Bonds ANBIMA'!$F:$F,MATCH(Base!$B179,'Bonds ANBIMA'!$A:$A,0))</f>
        <v>1861.792090909091</v>
      </c>
      <c r="R177" s="21">
        <f>INDEX('Bonds ANBIMA'!$H:$H,MATCH(Base!$B179,'Bonds ANBIMA'!$A:$A,0))</f>
        <v>1</v>
      </c>
      <c r="S177" s="7">
        <f>INDEX('Debêntures ANBIMA'!$O:$O,MATCH(Base!$B179,'Debêntures ANBIMA'!$A:$A,0))</f>
        <v>403.11666666666667</v>
      </c>
      <c r="T177" s="24">
        <f>INDEX('Debêntures ANBIMA'!$P:$P,MATCH(Base!$B179,'Debêntures ANBIMA'!$A:$A,0))</f>
        <v>0.27549751243781095</v>
      </c>
    </row>
    <row r="178" spans="1:20" x14ac:dyDescent="0.35">
      <c r="A178">
        <f>YEAR(B178)</f>
        <v>2021</v>
      </c>
      <c r="B178" s="12">
        <f>DATE(YEAR(G178),MONTH(G178),DAY(1))</f>
        <v>44228</v>
      </c>
      <c r="C178">
        <f>IF(E178&lt;&gt;E177,C177+1,C177)</f>
        <v>24</v>
      </c>
      <c r="D178" s="6" t="s">
        <v>108</v>
      </c>
      <c r="E178" s="6" t="s">
        <v>107</v>
      </c>
      <c r="F178" s="6" t="s">
        <v>233</v>
      </c>
      <c r="G178" s="1">
        <v>44235</v>
      </c>
      <c r="H178" s="1" t="s">
        <v>109</v>
      </c>
      <c r="I178" s="7">
        <f>IF(H178-G178&gt;(365*5),1,0)</f>
        <v>1</v>
      </c>
      <c r="J178" s="22">
        <v>1</v>
      </c>
      <c r="K178" s="9">
        <f>IF($N178="USD",INDEX('Dólar Spot'!$C:$C,MATCH(Base!$G176,'Dólar Spot'!$A:$A,0)),"")</f>
        <v>5.4504000000000001</v>
      </c>
      <c r="L178" s="8">
        <v>500000000</v>
      </c>
      <c r="M178" s="7">
        <f>IF(N178="USD",L178*K178/1000000,L178/1000000)</f>
        <v>2725.2</v>
      </c>
      <c r="N178" s="6" t="s">
        <v>16</v>
      </c>
      <c r="O178" s="9" t="str" cm="1">
        <f t="array" ref="O178">INDEX(Ratings!$B$2:$L$42,_xlfn.XMATCH(Base!E176,Ratings!$A$2:$A$42),_xlfn.XMATCH(YEAR(Base!G176),Ratings!$B$1:$L$1))</f>
        <v>BB</v>
      </c>
      <c r="P178">
        <f>IF(AND(O178&lt;&gt;"BBB-",O178&lt;&gt;"BBB",O178&lt;&gt;"BBB+"),0,1)</f>
        <v>0</v>
      </c>
      <c r="Q178" s="7">
        <f>INDEX('Bonds ANBIMA'!$F:$F,MATCH(Base!$B176,'Bonds ANBIMA'!$A:$A,0))</f>
        <v>830.90625000000023</v>
      </c>
      <c r="R178" s="21">
        <f>INDEX('Bonds ANBIMA'!$H:$H,MATCH(Base!$B176,'Bonds ANBIMA'!$A:$A,0))</f>
        <v>0.72727272727272729</v>
      </c>
      <c r="S178" s="7">
        <f>INDEX('Debêntures ANBIMA'!$O:$O,MATCH(Base!$B176,'Debêntures ANBIMA'!$A:$A,0))</f>
        <v>433.14238554216865</v>
      </c>
      <c r="T178" s="24">
        <f>INDEX('Debêntures ANBIMA'!$P:$P,MATCH(Base!$B176,'Debêntures ANBIMA'!$A:$A,0))</f>
        <v>0.92091969370314131</v>
      </c>
    </row>
    <row r="179" spans="1:20" x14ac:dyDescent="0.35">
      <c r="A179">
        <f>YEAR(B179)</f>
        <v>2018</v>
      </c>
      <c r="B179" s="12">
        <f>DATE(YEAR(G179),MONTH(G179),DAY(1))</f>
        <v>43101</v>
      </c>
      <c r="C179">
        <f>IF(E179&lt;&gt;E178,C178+1,C178)</f>
        <v>24</v>
      </c>
      <c r="D179" s="6" t="s">
        <v>108</v>
      </c>
      <c r="E179" s="6" t="s">
        <v>107</v>
      </c>
      <c r="F179" s="6" t="s">
        <v>233</v>
      </c>
      <c r="G179" s="1">
        <v>43124</v>
      </c>
      <c r="H179" s="1" t="s">
        <v>110</v>
      </c>
      <c r="I179" s="7">
        <f>IF(H179-G179&gt;(365*5),1,0)</f>
        <v>1</v>
      </c>
      <c r="J179" s="22">
        <v>0</v>
      </c>
      <c r="K179" s="9">
        <f>IF($N179="USD",INDEX('Dólar Spot'!$C:$C,MATCH(Base!$G177,'Dólar Spot'!$A:$A,0)),"")</f>
        <v>5.4504000000000001</v>
      </c>
      <c r="L179" s="8">
        <v>600000000</v>
      </c>
      <c r="M179" s="7">
        <f>IF(N179="USD",L179*K179/1000000,L179/1000000)</f>
        <v>3270.24</v>
      </c>
      <c r="N179" s="6" t="s">
        <v>16</v>
      </c>
      <c r="O179" s="9" t="str" cm="1">
        <f t="array" ref="O179">INDEX(Ratings!$B$2:$L$42,_xlfn.XMATCH(Base!E177,Ratings!$A$2:$A$42),_xlfn.XMATCH(YEAR(Base!G177),Ratings!$B$1:$L$1))</f>
        <v>BB</v>
      </c>
      <c r="P179">
        <f>IF(AND(O179&lt;&gt;"BBB-",O179&lt;&gt;"BBB",O179&lt;&gt;"BBB+"),0,1)</f>
        <v>0</v>
      </c>
      <c r="Q179" s="7">
        <f>INDEX('Bonds ANBIMA'!$F:$F,MATCH(Base!$B177,'Bonds ANBIMA'!$A:$A,0))</f>
        <v>830.90625000000023</v>
      </c>
      <c r="R179" s="21">
        <f>INDEX('Bonds ANBIMA'!$H:$H,MATCH(Base!$B177,'Bonds ANBIMA'!$A:$A,0))</f>
        <v>0.72727272727272729</v>
      </c>
      <c r="S179" s="7">
        <f>INDEX('Debêntures ANBIMA'!$O:$O,MATCH(Base!$B177,'Debêntures ANBIMA'!$A:$A,0))</f>
        <v>433.14238554216865</v>
      </c>
      <c r="T179" s="24">
        <f>INDEX('Debêntures ANBIMA'!$P:$P,MATCH(Base!$B177,'Debêntures ANBIMA'!$A:$A,0))</f>
        <v>0.92091969370314131</v>
      </c>
    </row>
    <row r="180" spans="1:20" x14ac:dyDescent="0.35">
      <c r="A180">
        <f>YEAR(B180)</f>
        <v>2011</v>
      </c>
      <c r="B180" s="12">
        <f>DATE(YEAR(G180),MONTH(G180),DAY(1))</f>
        <v>40603</v>
      </c>
      <c r="C180">
        <f>IF(E180&lt;&gt;E179,C179+1,C179)</f>
        <v>25</v>
      </c>
      <c r="D180" s="6" t="s">
        <v>317</v>
      </c>
      <c r="E180" s="6" t="s">
        <v>111</v>
      </c>
      <c r="F180" s="6" t="s">
        <v>346</v>
      </c>
      <c r="G180" s="1">
        <v>40630</v>
      </c>
      <c r="H180" s="1">
        <v>41726</v>
      </c>
      <c r="I180" s="7">
        <f>IF(H180-G180&gt;(365*5),1,0)</f>
        <v>0</v>
      </c>
      <c r="J180" s="6">
        <v>0</v>
      </c>
      <c r="K180" s="9" t="str">
        <f>IF($N180="USD",INDEX('Dólar Spot'!$C:$C,MATCH(Base!$G181,'Dólar Spot'!$A:$A,0)),"")</f>
        <v/>
      </c>
      <c r="L180" s="8">
        <v>200000000</v>
      </c>
      <c r="M180" s="7">
        <f>IF(N180="USD",L180*K180/1000000,L180/1000000)</f>
        <v>200</v>
      </c>
      <c r="N180" s="6" t="s">
        <v>348</v>
      </c>
      <c r="O180" s="9" t="str" cm="1">
        <f t="array" ref="O180">INDEX(Ratings!$B$2:$L$42,_xlfn.XMATCH(Base!E181,Ratings!$A$2:$A$42),_xlfn.XMATCH(YEAR(Base!G181),Ratings!$B$1:$L$1))</f>
        <v>BB-</v>
      </c>
      <c r="P180">
        <f>IF(AND(O180&lt;&gt;"BBB-",O180&lt;&gt;"BBB",O180&lt;&gt;"BBB+"),0,1)</f>
        <v>0</v>
      </c>
      <c r="Q180" s="7">
        <f>INDEX('Bonds ANBIMA'!$F:$F,MATCH(Base!$B181,'Bonds ANBIMA'!$A:$A,0))</f>
        <v>2481.310649999999</v>
      </c>
      <c r="R180" s="21">
        <f>INDEX('Bonds ANBIMA'!$H:$H,MATCH(Base!$B181,'Bonds ANBIMA'!$A:$A,0))</f>
        <v>0.61224489795918369</v>
      </c>
      <c r="S180" s="7">
        <f>INDEX('Debêntures ANBIMA'!$O:$O,MATCH(Base!$B181,'Debêntures ANBIMA'!$A:$A,0))</f>
        <v>102.41007142857143</v>
      </c>
      <c r="T180" s="24">
        <f>INDEX('Debêntures ANBIMA'!$P:$P,MATCH(Base!$B181,'Debêntures ANBIMA'!$A:$A,0))</f>
        <v>0.67934166631211634</v>
      </c>
    </row>
    <row r="181" spans="1:20" x14ac:dyDescent="0.35">
      <c r="A181">
        <f>YEAR(B181)</f>
        <v>2013</v>
      </c>
      <c r="B181" s="12">
        <f>DATE(YEAR(G181),MONTH(G181),DAY(1))</f>
        <v>41487</v>
      </c>
      <c r="C181">
        <f>IF(E181&lt;&gt;E180,C180+1,C180)</f>
        <v>25</v>
      </c>
      <c r="D181" s="6" t="s">
        <v>317</v>
      </c>
      <c r="E181" s="6" t="s">
        <v>111</v>
      </c>
      <c r="F181" s="6" t="s">
        <v>346</v>
      </c>
      <c r="G181" s="1">
        <v>41488</v>
      </c>
      <c r="H181" s="1">
        <v>43314</v>
      </c>
      <c r="I181" s="7">
        <f>IF(H181-G181&gt;(365*5),1,0)</f>
        <v>1</v>
      </c>
      <c r="J181" s="6">
        <v>1</v>
      </c>
      <c r="K181" s="9" t="str">
        <f>IF($N181="USD",INDEX('Dólar Spot'!$C:$C,MATCH(Base!$G182,'Dólar Spot'!$A:$A,0)),"")</f>
        <v/>
      </c>
      <c r="L181" s="8">
        <v>400000000</v>
      </c>
      <c r="M181" s="7">
        <f>IF(N181="USD",L181*K181/1000000,L181/1000000)</f>
        <v>400</v>
      </c>
      <c r="N181" s="6" t="s">
        <v>348</v>
      </c>
      <c r="O181" s="9" t="str" cm="1">
        <f t="array" ref="O181">INDEX(Ratings!$B$2:$L$42,_xlfn.XMATCH(Base!E182,Ratings!$A$2:$A$42),_xlfn.XMATCH(YEAR(Base!G182),Ratings!$B$1:$L$1))</f>
        <v>BB-</v>
      </c>
      <c r="P181">
        <f>IF(AND(O181&lt;&gt;"BBB-",O181&lt;&gt;"BBB",O181&lt;&gt;"BBB+"),0,1)</f>
        <v>0</v>
      </c>
      <c r="Q181" s="7">
        <f>INDEX('Bonds ANBIMA'!$F:$F,MATCH(Base!$B182,'Bonds ANBIMA'!$A:$A,0))</f>
        <v>2431.6276966666665</v>
      </c>
      <c r="R181" s="21">
        <f>INDEX('Bonds ANBIMA'!$H:$H,MATCH(Base!$B182,'Bonds ANBIMA'!$A:$A,0))</f>
        <v>0.61224489795918369</v>
      </c>
      <c r="S181" s="7">
        <f>INDEX('Debêntures ANBIMA'!$O:$O,MATCH(Base!$B182,'Debêntures ANBIMA'!$A:$A,0))</f>
        <v>138.75222222222223</v>
      </c>
      <c r="T181" s="24">
        <f>INDEX('Debêntures ANBIMA'!$P:$P,MATCH(Base!$B182,'Debêntures ANBIMA'!$A:$A,0))</f>
        <v>0.79423279733802221</v>
      </c>
    </row>
    <row r="182" spans="1:20" x14ac:dyDescent="0.35">
      <c r="A182">
        <f>YEAR(B182)</f>
        <v>2013</v>
      </c>
      <c r="B182" s="12">
        <f>DATE(YEAR(G182),MONTH(G182),DAY(1))</f>
        <v>41579</v>
      </c>
      <c r="C182">
        <f>IF(E182&lt;&gt;E181,C181+1,C181)</f>
        <v>25</v>
      </c>
      <c r="D182" s="6" t="s">
        <v>317</v>
      </c>
      <c r="E182" s="6" t="s">
        <v>111</v>
      </c>
      <c r="F182" s="6" t="s">
        <v>346</v>
      </c>
      <c r="G182" s="1">
        <v>41602</v>
      </c>
      <c r="H182" s="1">
        <v>42940</v>
      </c>
      <c r="I182" s="7">
        <f>IF(H182-G182&gt;(365*5),1,0)</f>
        <v>0</v>
      </c>
      <c r="J182" s="6">
        <v>1</v>
      </c>
      <c r="K182" s="9" t="str">
        <f>IF($N182="USD",INDEX('Dólar Spot'!$C:$C,MATCH(Base!$G183,'Dólar Spot'!$A:$A,0)),"")</f>
        <v/>
      </c>
      <c r="L182" s="8">
        <v>200000000</v>
      </c>
      <c r="M182" s="7">
        <f>IF(N182="USD",L182*K182/1000000,L182/1000000)</f>
        <v>200</v>
      </c>
      <c r="N182" s="6" t="s">
        <v>348</v>
      </c>
      <c r="O182" s="9" t="str" cm="1">
        <f t="array" ref="O182">INDEX(Ratings!$B$2:$L$42,_xlfn.XMATCH(Base!E183,Ratings!$A$2:$A$42),_xlfn.XMATCH(YEAR(Base!G183),Ratings!$B$1:$L$1))</f>
        <v>BB</v>
      </c>
      <c r="P182">
        <f>IF(AND(O182&lt;&gt;"BBB-",O182&lt;&gt;"BBB",O182&lt;&gt;"BBB+"),0,1)</f>
        <v>0</v>
      </c>
      <c r="Q182" s="7">
        <f>INDEX('Bonds ANBIMA'!$F:$F,MATCH(Base!$B183,'Bonds ANBIMA'!$A:$A,0))</f>
        <v>1949.5917653225804</v>
      </c>
      <c r="R182" s="21">
        <f>INDEX('Bonds ANBIMA'!$H:$H,MATCH(Base!$B183,'Bonds ANBIMA'!$A:$A,0))</f>
        <v>0.7592592592592593</v>
      </c>
      <c r="S182" s="7">
        <f>INDEX('Debêntures ANBIMA'!$O:$O,MATCH(Base!$B183,'Debêntures ANBIMA'!$A:$A,0))</f>
        <v>893.49106666666671</v>
      </c>
      <c r="T182" s="24">
        <f>INDEX('Debêntures ANBIMA'!$P:$P,MATCH(Base!$B183,'Debêntures ANBIMA'!$A:$A,0))</f>
        <v>0.93718775365154505</v>
      </c>
    </row>
    <row r="183" spans="1:20" x14ac:dyDescent="0.35">
      <c r="A183">
        <f>YEAR(B183)</f>
        <v>2014</v>
      </c>
      <c r="B183" s="12">
        <f>DATE(YEAR(G183),MONTH(G183),DAY(1))</f>
        <v>41730</v>
      </c>
      <c r="C183">
        <f>IF(E183&lt;&gt;E182,C182+1,C182)</f>
        <v>25</v>
      </c>
      <c r="D183" s="6" t="s">
        <v>317</v>
      </c>
      <c r="E183" s="6" t="s">
        <v>111</v>
      </c>
      <c r="F183" s="6" t="s">
        <v>346</v>
      </c>
      <c r="G183" s="1">
        <v>41739</v>
      </c>
      <c r="H183" s="1">
        <v>43565</v>
      </c>
      <c r="I183" s="7">
        <f>IF(H183-G183&gt;(365*5),1,0)</f>
        <v>1</v>
      </c>
      <c r="J183" s="6">
        <v>1</v>
      </c>
      <c r="K183" s="9" t="str">
        <f>IF($N183="USD",INDEX('Dólar Spot'!$C:$C,MATCH(Base!$G184,'Dólar Spot'!$A:$A,0)),"")</f>
        <v/>
      </c>
      <c r="L183" s="8">
        <v>400000000</v>
      </c>
      <c r="M183" s="7">
        <f>IF(N183="USD",L183*K183/1000000,L183/1000000)</f>
        <v>400</v>
      </c>
      <c r="N183" s="6" t="s">
        <v>348</v>
      </c>
      <c r="O183" s="9" t="str" cm="1">
        <f t="array" ref="O183">INDEX(Ratings!$B$2:$L$42,_xlfn.XMATCH(Base!E184,Ratings!$A$2:$A$42),_xlfn.XMATCH(YEAR(Base!G184),Ratings!$B$1:$L$1))</f>
        <v>BB+</v>
      </c>
      <c r="P183">
        <f>IF(AND(O183&lt;&gt;"BBB-",O183&lt;&gt;"BBB",O183&lt;&gt;"BBB+"),0,1)</f>
        <v>0</v>
      </c>
      <c r="Q183" s="7">
        <f>INDEX('Bonds ANBIMA'!$F:$F,MATCH(Base!$B184,'Bonds ANBIMA'!$A:$A,0))</f>
        <v>7893.9774999999981</v>
      </c>
      <c r="R183" s="21">
        <f>INDEX('Bonds ANBIMA'!$H:$H,MATCH(Base!$B184,'Bonds ANBIMA'!$A:$A,0))</f>
        <v>0.83870967741935487</v>
      </c>
      <c r="S183" s="7">
        <f>INDEX('Debêntures ANBIMA'!$O:$O,MATCH(Base!$B184,'Debêntures ANBIMA'!$A:$A,0))</f>
        <v>292.23871243636364</v>
      </c>
      <c r="T183" s="24">
        <f>INDEX('Debêntures ANBIMA'!$P:$P,MATCH(Base!$B184,'Debêntures ANBIMA'!$A:$A,0))</f>
        <v>0.87974551685015945</v>
      </c>
    </row>
    <row r="184" spans="1:20" x14ac:dyDescent="0.35">
      <c r="A184">
        <f>YEAR(B184)</f>
        <v>2019</v>
      </c>
      <c r="B184" s="12">
        <f>DATE(YEAR(G184),MONTH(G184),DAY(1))</f>
        <v>43770</v>
      </c>
      <c r="C184">
        <f>IF(E184&lt;&gt;E183,C183+1,C183)</f>
        <v>25</v>
      </c>
      <c r="D184" s="6" t="s">
        <v>317</v>
      </c>
      <c r="E184" s="6" t="s">
        <v>111</v>
      </c>
      <c r="F184" s="6" t="s">
        <v>346</v>
      </c>
      <c r="G184" s="1">
        <v>43797</v>
      </c>
      <c r="H184" s="1">
        <v>45989</v>
      </c>
      <c r="I184" s="7">
        <f>IF(H184-G184&gt;(365*5),1,0)</f>
        <v>1</v>
      </c>
      <c r="J184" s="6">
        <v>1</v>
      </c>
      <c r="K184" s="9" t="str">
        <f>IF($N184="USD",INDEX('Dólar Spot'!$C:$C,MATCH(Base!$G185,'Dólar Spot'!$A:$A,0)),"")</f>
        <v/>
      </c>
      <c r="L184" s="8">
        <v>800000000</v>
      </c>
      <c r="M184" s="7">
        <f>IF(N184="USD",L184*K184/1000000,L184/1000000)</f>
        <v>800</v>
      </c>
      <c r="N184" s="6" t="s">
        <v>348</v>
      </c>
      <c r="O184" s="9" t="str" cm="1">
        <f t="array" ref="O184">INDEX(Ratings!$B$2:$L$42,_xlfn.XMATCH(Base!E185,Ratings!$A$2:$A$42),_xlfn.XMATCH(YEAR(Base!G185),Ratings!$B$1:$L$1))</f>
        <v>BB+</v>
      </c>
      <c r="P184">
        <f>IF(AND(O184&lt;&gt;"BBB-",O184&lt;&gt;"BBB",O184&lt;&gt;"BBB+"),0,1)</f>
        <v>0</v>
      </c>
      <c r="Q184" s="7">
        <f>INDEX('Bonds ANBIMA'!$F:$F,MATCH(Base!$B185,'Bonds ANBIMA'!$A:$A,0))</f>
        <v>0</v>
      </c>
      <c r="R184" s="21">
        <f>INDEX('Bonds ANBIMA'!$H:$H,MATCH(Base!$B185,'Bonds ANBIMA'!$A:$A,0))</f>
        <v>0.69230769230769229</v>
      </c>
      <c r="S184" s="7">
        <f>INDEX('Debêntures ANBIMA'!$O:$O,MATCH(Base!$B185,'Debêntures ANBIMA'!$A:$A,0))</f>
        <v>388.82487878787879</v>
      </c>
      <c r="T184" s="24">
        <f>INDEX('Debêntures ANBIMA'!$P:$P,MATCH(Base!$B185,'Debêntures ANBIMA'!$A:$A,0))</f>
        <v>0.42853613627928244</v>
      </c>
    </row>
    <row r="185" spans="1:20" x14ac:dyDescent="0.35">
      <c r="A185">
        <f>YEAR(B185)</f>
        <v>2020</v>
      </c>
      <c r="B185" s="12">
        <f>DATE(YEAR(G185),MONTH(G185),DAY(1))</f>
        <v>43922</v>
      </c>
      <c r="C185">
        <f>IF(E185&lt;&gt;E184,C184+1,C184)</f>
        <v>25</v>
      </c>
      <c r="D185" s="6" t="s">
        <v>317</v>
      </c>
      <c r="E185" s="6" t="s">
        <v>111</v>
      </c>
      <c r="F185" s="6" t="s">
        <v>346</v>
      </c>
      <c r="G185" s="1">
        <v>43924</v>
      </c>
      <c r="H185" s="1">
        <v>46115</v>
      </c>
      <c r="I185" s="7">
        <f>IF(H185-G185&gt;(365*5),1,0)</f>
        <v>1</v>
      </c>
      <c r="J185" s="6">
        <v>1</v>
      </c>
      <c r="K185" s="9" t="str">
        <f>IF($N185="USD",INDEX('Dólar Spot'!$C:$C,MATCH(Base!$G186,'Dólar Spot'!$A:$A,0)),"")</f>
        <v/>
      </c>
      <c r="L185" s="8">
        <v>2485000000</v>
      </c>
      <c r="M185" s="7">
        <f>IF(N185="USD",L185*K185/1000000,L185/1000000)</f>
        <v>2485</v>
      </c>
      <c r="N185" s="6" t="s">
        <v>348</v>
      </c>
      <c r="O185" s="9" t="str" cm="1">
        <f t="array" ref="O185">INDEX(Ratings!$B$2:$L$42,_xlfn.XMATCH(Base!E186,Ratings!$A$2:$A$42),_xlfn.XMATCH(YEAR(Base!G186),Ratings!$B$1:$L$1))</f>
        <v>BB-</v>
      </c>
      <c r="P185">
        <f>IF(AND(O185&lt;&gt;"BBB-",O185&lt;&gt;"BBB",O185&lt;&gt;"BBB+"),0,1)</f>
        <v>0</v>
      </c>
      <c r="Q185" s="7">
        <f>INDEX('Bonds ANBIMA'!$F:$F,MATCH(Base!$B186,'Bonds ANBIMA'!$A:$A,0))</f>
        <v>1472.4428384615387</v>
      </c>
      <c r="R185" s="21">
        <f>INDEX('Bonds ANBIMA'!$H:$H,MATCH(Base!$B186,'Bonds ANBIMA'!$A:$A,0))</f>
        <v>0.5862068965517242</v>
      </c>
      <c r="S185" s="7">
        <f>INDEX('Debêntures ANBIMA'!$O:$O,MATCH(Base!$B186,'Debêntures ANBIMA'!$A:$A,0))</f>
        <v>148.76</v>
      </c>
      <c r="T185" s="24">
        <f>INDEX('Debêntures ANBIMA'!$P:$P,MATCH(Base!$B186,'Debêntures ANBIMA'!$A:$A,0))</f>
        <v>0.65951895805324012</v>
      </c>
    </row>
    <row r="186" spans="1:20" x14ac:dyDescent="0.35">
      <c r="A186">
        <f>YEAR(B186)</f>
        <v>2011</v>
      </c>
      <c r="B186" s="12">
        <f>DATE(YEAR(G186),MONTH(G186),DAY(1))</f>
        <v>40603</v>
      </c>
      <c r="C186">
        <f>IF(E186&lt;&gt;E185,C185+1,C185)</f>
        <v>25</v>
      </c>
      <c r="D186" s="6" t="s">
        <v>317</v>
      </c>
      <c r="E186" s="6" t="s">
        <v>111</v>
      </c>
      <c r="F186" s="6" t="s">
        <v>346</v>
      </c>
      <c r="G186" s="1">
        <v>40630</v>
      </c>
      <c r="H186" s="1">
        <v>41757</v>
      </c>
      <c r="I186" s="7">
        <f>IF(H186-G186&gt;(365*5),1,0)</f>
        <v>0</v>
      </c>
      <c r="J186" s="6">
        <v>0</v>
      </c>
      <c r="K186" s="9" t="str">
        <f>IF($N186="USD",INDEX('Dólar Spot'!$C:$C,MATCH(Base!$G187,'Dólar Spot'!$A:$A,0)),"")</f>
        <v/>
      </c>
      <c r="L186" s="8">
        <v>200000000</v>
      </c>
      <c r="M186" s="7">
        <f>IF(N186="USD",L186*K186/1000000,L186/1000000)</f>
        <v>200</v>
      </c>
      <c r="N186" s="6" t="s">
        <v>348</v>
      </c>
      <c r="O186" s="9" t="str" cm="1">
        <f t="array" ref="O186">INDEX(Ratings!$B$2:$L$42,_xlfn.XMATCH(Base!E187,Ratings!$A$2:$A$42),_xlfn.XMATCH(YEAR(Base!G187),Ratings!$B$1:$L$1))</f>
        <v>BB+</v>
      </c>
      <c r="P186">
        <f>IF(AND(O186&lt;&gt;"BBB-",O186&lt;&gt;"BBB",O186&lt;&gt;"BBB+"),0,1)</f>
        <v>0</v>
      </c>
      <c r="Q186" s="7">
        <f>INDEX('Bonds ANBIMA'!$F:$F,MATCH(Base!$B187,'Bonds ANBIMA'!$A:$A,0))</f>
        <v>3599.2539682539682</v>
      </c>
      <c r="R186" s="21">
        <f>INDEX('Bonds ANBIMA'!$H:$H,MATCH(Base!$B187,'Bonds ANBIMA'!$A:$A,0))</f>
        <v>0.70370370370370372</v>
      </c>
      <c r="S186" s="7">
        <f>INDEX('Debêntures ANBIMA'!$O:$O,MATCH(Base!$B187,'Debêntures ANBIMA'!$A:$A,0))</f>
        <v>312.55047368421054</v>
      </c>
      <c r="T186" s="24">
        <f>INDEX('Debêntures ANBIMA'!$P:$P,MATCH(Base!$B187,'Debêntures ANBIMA'!$A:$A,0))</f>
        <v>0.90771570084636288</v>
      </c>
    </row>
    <row r="187" spans="1:20" x14ac:dyDescent="0.35">
      <c r="A187">
        <f>YEAR(B187)</f>
        <v>2020</v>
      </c>
      <c r="B187" s="12">
        <f>DATE(YEAR(G187),MONTH(G187),DAY(1))</f>
        <v>44075</v>
      </c>
      <c r="C187">
        <f>IF(E187&lt;&gt;E186,C186+1,C186)</f>
        <v>25</v>
      </c>
      <c r="D187" s="6" t="s">
        <v>317</v>
      </c>
      <c r="E187" s="6" t="s">
        <v>111</v>
      </c>
      <c r="F187" s="6" t="s">
        <v>346</v>
      </c>
      <c r="G187" s="1">
        <v>44075</v>
      </c>
      <c r="H187" s="1">
        <v>45901</v>
      </c>
      <c r="I187" s="7">
        <f>IF(H187-G187&gt;(365*5),1,0)</f>
        <v>1</v>
      </c>
      <c r="J187" s="6">
        <v>1</v>
      </c>
      <c r="K187" s="9" t="str">
        <f>IF($N187="USD",INDEX('Dólar Spot'!$C:$C,MATCH(Base!$G188,'Dólar Spot'!$A:$A,0)),"")</f>
        <v/>
      </c>
      <c r="L187" s="8">
        <v>235000000</v>
      </c>
      <c r="M187" s="7">
        <f>IF(N187="USD",L187*K187/1000000,L187/1000000)</f>
        <v>235</v>
      </c>
      <c r="N187" s="6" t="s">
        <v>348</v>
      </c>
      <c r="O187" s="9" t="str" cm="1">
        <f t="array" ref="O187">INDEX(Ratings!$B$2:$L$42,_xlfn.XMATCH(Base!E188,Ratings!$A$2:$A$42),_xlfn.XMATCH(YEAR(Base!G188),Ratings!$B$1:$L$1))</f>
        <v>BB+</v>
      </c>
      <c r="P187">
        <f>IF(AND(O187&lt;&gt;"BBB-",O187&lt;&gt;"BBB",O187&lt;&gt;"BBB+"),0,1)</f>
        <v>0</v>
      </c>
      <c r="Q187" s="7">
        <f>INDEX('Bonds ANBIMA'!$F:$F,MATCH(Base!$B188,'Bonds ANBIMA'!$A:$A,0))</f>
        <v>2639.5452380952379</v>
      </c>
      <c r="R187" s="21">
        <f>INDEX('Bonds ANBIMA'!$H:$H,MATCH(Base!$B188,'Bonds ANBIMA'!$A:$A,0))</f>
        <v>0.75</v>
      </c>
      <c r="S187" s="7">
        <f>INDEX('Debêntures ANBIMA'!$O:$O,MATCH(Base!$B188,'Debêntures ANBIMA'!$A:$A,0))</f>
        <v>333.94772061764706</v>
      </c>
      <c r="T187" s="24">
        <f>INDEX('Debêntures ANBIMA'!$P:$P,MATCH(Base!$B188,'Debêntures ANBIMA'!$A:$A,0))</f>
        <v>0.70859317355091667</v>
      </c>
    </row>
    <row r="188" spans="1:20" x14ac:dyDescent="0.35">
      <c r="A188">
        <f>YEAR(B188)</f>
        <v>2021</v>
      </c>
      <c r="B188" s="12">
        <f>DATE(YEAR(G188),MONTH(G188),DAY(1))</f>
        <v>44440</v>
      </c>
      <c r="C188">
        <f>IF(E188&lt;&gt;E187,C187+1,C187)</f>
        <v>25</v>
      </c>
      <c r="D188" s="6" t="s">
        <v>317</v>
      </c>
      <c r="E188" s="6" t="s">
        <v>111</v>
      </c>
      <c r="F188" s="6" t="s">
        <v>346</v>
      </c>
      <c r="G188" s="1">
        <v>44448</v>
      </c>
      <c r="H188" s="1">
        <v>46274</v>
      </c>
      <c r="I188" s="7">
        <f>IF(H188-G188&gt;(365*5),1,0)</f>
        <v>1</v>
      </c>
      <c r="J188" s="6">
        <v>1</v>
      </c>
      <c r="K188" s="9" t="str">
        <f>IF($N188="USD",INDEX('Dólar Spot'!$C:$C,MATCH(Base!$G189,'Dólar Spot'!$A:$A,0)),"")</f>
        <v/>
      </c>
      <c r="L188" s="8">
        <v>1000000000</v>
      </c>
      <c r="M188" s="7">
        <f>IF(N188="USD",L188*K188/1000000,L188/1000000)</f>
        <v>1000</v>
      </c>
      <c r="N188" s="6" t="s">
        <v>348</v>
      </c>
      <c r="O188" s="9" t="str" cm="1">
        <f t="array" ref="O188">INDEX(Ratings!$B$2:$L$42,_xlfn.XMATCH(Base!E189,Ratings!$A$2:$A$42),_xlfn.XMATCH(YEAR(Base!G189),Ratings!$B$1:$L$1))</f>
        <v>BB+</v>
      </c>
      <c r="P188">
        <f>IF(AND(O188&lt;&gt;"BBB-",O188&lt;&gt;"BBB",O188&lt;&gt;"BBB+"),0,1)</f>
        <v>0</v>
      </c>
      <c r="Q188" s="7">
        <f>INDEX('Bonds ANBIMA'!$F:$F,MATCH(Base!$B189,'Bonds ANBIMA'!$A:$A,0))</f>
        <v>3599.2539682539682</v>
      </c>
      <c r="R188" s="21">
        <f>INDEX('Bonds ANBIMA'!$H:$H,MATCH(Base!$B189,'Bonds ANBIMA'!$A:$A,0))</f>
        <v>0.70370370370370372</v>
      </c>
      <c r="S188" s="7">
        <f>INDEX('Debêntures ANBIMA'!$O:$O,MATCH(Base!$B189,'Debêntures ANBIMA'!$A:$A,0))</f>
        <v>312.55047368421054</v>
      </c>
      <c r="T188" s="24">
        <f>INDEX('Debêntures ANBIMA'!$P:$P,MATCH(Base!$B189,'Debêntures ANBIMA'!$A:$A,0))</f>
        <v>0.90771570084636288</v>
      </c>
    </row>
    <row r="189" spans="1:20" x14ac:dyDescent="0.35">
      <c r="A189">
        <f>YEAR(B189)</f>
        <v>2020</v>
      </c>
      <c r="B189" s="12">
        <f>DATE(YEAR(G189),MONTH(G189),DAY(1))</f>
        <v>44075</v>
      </c>
      <c r="C189">
        <f>IF(E189&lt;&gt;E188,C188+1,C188)</f>
        <v>25</v>
      </c>
      <c r="D189" s="6" t="s">
        <v>317</v>
      </c>
      <c r="E189" s="6" t="s">
        <v>111</v>
      </c>
      <c r="F189" s="6" t="s">
        <v>346</v>
      </c>
      <c r="G189" s="1">
        <v>44075</v>
      </c>
      <c r="H189" s="1">
        <v>45901</v>
      </c>
      <c r="I189" s="7">
        <f>IF(H189-G189&gt;(365*5),1,0)</f>
        <v>1</v>
      </c>
      <c r="J189" s="6">
        <v>1</v>
      </c>
      <c r="K189" s="9" t="str">
        <f>IF($N189="USD",INDEX('Dólar Spot'!$C:$C,MATCH(Base!$G190,'Dólar Spot'!$A:$A,0)),"")</f>
        <v/>
      </c>
      <c r="L189" s="8">
        <v>500000000</v>
      </c>
      <c r="M189" s="7">
        <f>IF(N189="USD",L189*K189/1000000,L189/1000000)</f>
        <v>500</v>
      </c>
      <c r="N189" s="6" t="s">
        <v>348</v>
      </c>
      <c r="O189" s="9" t="str" cm="1">
        <f t="array" ref="O189">INDEX(Ratings!$B$2:$L$42,_xlfn.XMATCH(Base!E190,Ratings!$A$2:$A$42),_xlfn.XMATCH(YEAR(Base!G190),Ratings!$B$1:$L$1))</f>
        <v>BB-</v>
      </c>
      <c r="P189">
        <f>IF(AND(O189&lt;&gt;"BBB-",O189&lt;&gt;"BBB",O189&lt;&gt;"BBB+"),0,1)</f>
        <v>0</v>
      </c>
      <c r="Q189" s="7">
        <f>INDEX('Bonds ANBIMA'!$F:$F,MATCH(Base!$B190,'Bonds ANBIMA'!$A:$A,0))</f>
        <v>1407.9328902834009</v>
      </c>
      <c r="R189" s="21">
        <f>INDEX('Bonds ANBIMA'!$H:$H,MATCH(Base!$B190,'Bonds ANBIMA'!$A:$A,0))</f>
        <v>0.5862068965517242</v>
      </c>
      <c r="S189" s="7">
        <f>INDEX('Debêntures ANBIMA'!$O:$O,MATCH(Base!$B190,'Debêntures ANBIMA'!$A:$A,0))</f>
        <v>305.92307692307691</v>
      </c>
      <c r="T189" s="24">
        <f>INDEX('Debêntures ANBIMA'!$P:$P,MATCH(Base!$B190,'Debêntures ANBIMA'!$A:$A,0))</f>
        <v>0.94971083731455874</v>
      </c>
    </row>
    <row r="190" spans="1:20" x14ac:dyDescent="0.35">
      <c r="A190">
        <f>YEAR(B190)</f>
        <v>2011</v>
      </c>
      <c r="B190" s="12">
        <f>DATE(YEAR(G190),MONTH(G190),DAY(1))</f>
        <v>40634</v>
      </c>
      <c r="C190">
        <f>IF(E190&lt;&gt;E189,C189+1,C189)</f>
        <v>25</v>
      </c>
      <c r="D190" s="6" t="s">
        <v>112</v>
      </c>
      <c r="E190" s="6" t="s">
        <v>111</v>
      </c>
      <c r="F190" s="6" t="s">
        <v>233</v>
      </c>
      <c r="G190" s="1">
        <v>40653</v>
      </c>
      <c r="H190" s="1" t="s">
        <v>113</v>
      </c>
      <c r="I190" s="7">
        <f>IF(H190-G190&gt;(365*5),1,0)</f>
        <v>1</v>
      </c>
      <c r="J190" s="22">
        <v>0</v>
      </c>
      <c r="K190" s="9">
        <f>IF($N190="USD",INDEX('Dólar Spot'!$C:$C,MATCH(Base!$G180,'Dólar Spot'!$A:$A,0)),"")</f>
        <v>1.6606000000000001</v>
      </c>
      <c r="L190" s="8">
        <v>750000000</v>
      </c>
      <c r="M190" s="7">
        <f>IF(N190="USD",L190*K190/1000000,L190/1000000)</f>
        <v>1245.45</v>
      </c>
      <c r="N190" s="6" t="s">
        <v>16</v>
      </c>
      <c r="O190" s="9" t="str" cm="1">
        <f t="array" ref="O190">INDEX(Ratings!$B$2:$L$42,_xlfn.XMATCH(Base!E180,Ratings!$A$2:$A$42),_xlfn.XMATCH(YEAR(Base!G180),Ratings!$B$1:$L$1))</f>
        <v>BB-</v>
      </c>
      <c r="P190">
        <f>IF(AND(O190&lt;&gt;"BBB-",O190&lt;&gt;"BBB",O190&lt;&gt;"BBB+"),0,1)</f>
        <v>0</v>
      </c>
      <c r="Q190" s="7">
        <f>INDEX('Bonds ANBIMA'!$F:$F,MATCH(Base!$B180,'Bonds ANBIMA'!$A:$A,0))</f>
        <v>1472.4428384615387</v>
      </c>
      <c r="R190" s="21">
        <f>INDEX('Bonds ANBIMA'!$H:$H,MATCH(Base!$B180,'Bonds ANBIMA'!$A:$A,0))</f>
        <v>0.5862068965517242</v>
      </c>
      <c r="S190" s="7">
        <f>INDEX('Debêntures ANBIMA'!$O:$O,MATCH(Base!$B180,'Debêntures ANBIMA'!$A:$A,0))</f>
        <v>148.76</v>
      </c>
      <c r="T190" s="24">
        <f>INDEX('Debêntures ANBIMA'!$P:$P,MATCH(Base!$B180,'Debêntures ANBIMA'!$A:$A,0))</f>
        <v>0.65951895805324012</v>
      </c>
    </row>
    <row r="191" spans="1:20" x14ac:dyDescent="0.35">
      <c r="A191">
        <f>YEAR(B191)</f>
        <v>2012</v>
      </c>
      <c r="B191" s="12">
        <f>DATE(YEAR(G191),MONTH(G191),DAY(1))</f>
        <v>41000</v>
      </c>
      <c r="C191">
        <f>IF(E191&lt;&gt;E190,C190+1,C190)</f>
        <v>26</v>
      </c>
      <c r="D191" s="6" t="s">
        <v>318</v>
      </c>
      <c r="E191" s="6" t="s">
        <v>114</v>
      </c>
      <c r="F191" s="6" t="s">
        <v>346</v>
      </c>
      <c r="G191" s="1">
        <v>41018</v>
      </c>
      <c r="H191" s="1">
        <v>44670</v>
      </c>
      <c r="I191" s="7">
        <f>IF(H191-G191&gt;(365*5),1,0)</f>
        <v>1</v>
      </c>
      <c r="J191" s="22">
        <v>1</v>
      </c>
      <c r="K191" s="9" t="str">
        <f>IF($N191="USD",INDEX('Dólar Spot'!$C:$C,MATCH(Base!$G192,'Dólar Spot'!$A:$A,0)),"")</f>
        <v/>
      </c>
      <c r="L191" s="8">
        <v>1000000000</v>
      </c>
      <c r="M191" s="7">
        <f>IF(N191="USD",L191*K191/1000000,L191/1000000)</f>
        <v>1000</v>
      </c>
      <c r="N191" s="6" t="s">
        <v>348</v>
      </c>
      <c r="O191" s="9" t="str" cm="1">
        <f t="array" ref="O191">INDEX(Ratings!$B$2:$L$42,_xlfn.XMATCH(Base!E192,Ratings!$A$2:$A$42),_xlfn.XMATCH(YEAR(Base!G192),Ratings!$B$1:$L$1))</f>
        <v>C</v>
      </c>
      <c r="P191">
        <f>IF(AND(O191&lt;&gt;"BBB-",O191&lt;&gt;"BBB",O191&lt;&gt;"BBB+"),0,1)</f>
        <v>0</v>
      </c>
      <c r="Q191" s="7">
        <f>INDEX('Bonds ANBIMA'!$F:$F,MATCH(Base!$B192,'Bonds ANBIMA'!$A:$A,0))</f>
        <v>16886.984523809526</v>
      </c>
      <c r="R191" s="21">
        <f>INDEX('Bonds ANBIMA'!$H:$H,MATCH(Base!$B192,'Bonds ANBIMA'!$A:$A,0))</f>
        <v>0.70588235294117641</v>
      </c>
      <c r="S191" s="7">
        <f>INDEX('Debêntures ANBIMA'!$O:$O,MATCH(Base!$B192,'Debêntures ANBIMA'!$A:$A,0))</f>
        <v>375.80724257500003</v>
      </c>
      <c r="T191" s="24">
        <f>INDEX('Debêntures ANBIMA'!$P:$P,MATCH(Base!$B192,'Debêntures ANBIMA'!$A:$A,0))</f>
        <v>0.80877441343777279</v>
      </c>
    </row>
    <row r="192" spans="1:20" x14ac:dyDescent="0.35">
      <c r="A192">
        <f>YEAR(B192)</f>
        <v>2020</v>
      </c>
      <c r="B192" s="12">
        <f>DATE(YEAR(G192),MONTH(G192),DAY(1))</f>
        <v>43983</v>
      </c>
      <c r="C192">
        <f>IF(E192&lt;&gt;E191,C191+1,C191)</f>
        <v>26</v>
      </c>
      <c r="D192" s="6" t="s">
        <v>318</v>
      </c>
      <c r="E192" s="6" t="s">
        <v>114</v>
      </c>
      <c r="F192" s="6" t="s">
        <v>346</v>
      </c>
      <c r="G192" s="1">
        <v>43990</v>
      </c>
      <c r="H192" s="1">
        <v>46546</v>
      </c>
      <c r="I192" s="7">
        <f>IF(H192-G192&gt;(365*5),1,0)</f>
        <v>1</v>
      </c>
      <c r="J192" s="22">
        <v>1</v>
      </c>
      <c r="K192" s="9" t="str">
        <f>IF($N192="USD",INDEX('Dólar Spot'!$C:$C,MATCH(Base!$G193,'Dólar Spot'!$A:$A,0)),"")</f>
        <v/>
      </c>
      <c r="L192" s="8">
        <v>175719000</v>
      </c>
      <c r="M192" s="7">
        <f>IF(N192="USD",L192*K192/1000000,L192/1000000)</f>
        <v>175.71899999999999</v>
      </c>
      <c r="N192" s="6" t="s">
        <v>348</v>
      </c>
      <c r="O192" s="9" t="str" cm="1">
        <f t="array" ref="O192">INDEX(Ratings!$B$2:$L$42,_xlfn.XMATCH(Base!E193,Ratings!$A$2:$A$42),_xlfn.XMATCH(YEAR(Base!G193),Ratings!$B$1:$L$1))</f>
        <v>NR</v>
      </c>
      <c r="P192">
        <f>IF(AND(O192&lt;&gt;"BBB-",O192&lt;&gt;"BBB",O192&lt;&gt;"BBB+"),0,1)</f>
        <v>0</v>
      </c>
      <c r="Q192" s="7">
        <f>INDEX('Bonds ANBIMA'!$F:$F,MATCH(Base!$B193,'Bonds ANBIMA'!$A:$A,0))</f>
        <v>1491.8994121621624</v>
      </c>
      <c r="R192" s="21">
        <f>INDEX('Bonds ANBIMA'!$H:$H,MATCH(Base!$B193,'Bonds ANBIMA'!$A:$A,0))</f>
        <v>0.81690140845070425</v>
      </c>
      <c r="S192" s="7">
        <f>INDEX('Debêntures ANBIMA'!$O:$O,MATCH(Base!$B193,'Debêntures ANBIMA'!$A:$A,0))</f>
        <v>368.47826086956519</v>
      </c>
      <c r="T192" s="24">
        <f>INDEX('Debêntures ANBIMA'!$P:$P,MATCH(Base!$B193,'Debêntures ANBIMA'!$A:$A,0))</f>
        <v>0.7078466076696166</v>
      </c>
    </row>
    <row r="193" spans="1:20" x14ac:dyDescent="0.35">
      <c r="A193">
        <f>YEAR(B193)</f>
        <v>2012</v>
      </c>
      <c r="B193" s="12">
        <f>DATE(YEAR(G193),MONTH(G193),DAY(1))</f>
        <v>41000</v>
      </c>
      <c r="C193">
        <f>IF(E193&lt;&gt;E192,C192+1,C192)</f>
        <v>26</v>
      </c>
      <c r="D193" s="6" t="s">
        <v>318</v>
      </c>
      <c r="E193" s="6" t="s">
        <v>114</v>
      </c>
      <c r="F193" s="6" t="s">
        <v>346</v>
      </c>
      <c r="G193" s="1">
        <v>41018</v>
      </c>
      <c r="H193" s="1">
        <v>44670</v>
      </c>
      <c r="I193" s="7">
        <f>IF(H193-G193&gt;(365*5),1,0)</f>
        <v>1</v>
      </c>
      <c r="J193" s="22">
        <v>1</v>
      </c>
      <c r="K193" s="9" t="str">
        <f>IF($N193="USD",INDEX('Dólar Spot'!$C:$C,MATCH(Base!$G194,'Dólar Spot'!$A:$A,0)),"")</f>
        <v/>
      </c>
      <c r="L193" s="8">
        <v>500000000</v>
      </c>
      <c r="M193" s="7">
        <f>IF(N193="USD",L193*K193/1000000,L193/1000000)</f>
        <v>500</v>
      </c>
      <c r="N193" s="6" t="s">
        <v>348</v>
      </c>
      <c r="O193" s="9" t="str" cm="1">
        <f t="array" ref="O193">INDEX(Ratings!$B$2:$L$42,_xlfn.XMATCH(Base!E194,Ratings!$A$2:$A$42),_xlfn.XMATCH(YEAR(Base!G194),Ratings!$B$1:$L$1))</f>
        <v>C</v>
      </c>
      <c r="P193">
        <f>IF(AND(O193&lt;&gt;"BBB-",O193&lt;&gt;"BBB",O193&lt;&gt;"BBB+"),0,1)</f>
        <v>0</v>
      </c>
      <c r="Q193" s="7">
        <f>INDEX('Bonds ANBIMA'!$F:$F,MATCH(Base!$B194,'Bonds ANBIMA'!$A:$A,0))</f>
        <v>16886.984523809526</v>
      </c>
      <c r="R193" s="21">
        <f>INDEX('Bonds ANBIMA'!$H:$H,MATCH(Base!$B194,'Bonds ANBIMA'!$A:$A,0))</f>
        <v>0.70588235294117641</v>
      </c>
      <c r="S193" s="7">
        <f>INDEX('Debêntures ANBIMA'!$O:$O,MATCH(Base!$B194,'Debêntures ANBIMA'!$A:$A,0))</f>
        <v>375.80724257500003</v>
      </c>
      <c r="T193" s="24">
        <f>INDEX('Debêntures ANBIMA'!$P:$P,MATCH(Base!$B194,'Debêntures ANBIMA'!$A:$A,0))</f>
        <v>0.80877441343777279</v>
      </c>
    </row>
    <row r="194" spans="1:20" x14ac:dyDescent="0.35">
      <c r="A194">
        <f>YEAR(B194)</f>
        <v>2020</v>
      </c>
      <c r="B194" s="12">
        <f>DATE(YEAR(G194),MONTH(G194),DAY(1))</f>
        <v>43983</v>
      </c>
      <c r="C194">
        <f>IF(E194&lt;&gt;E193,C193+1,C193)</f>
        <v>26</v>
      </c>
      <c r="D194" s="6" t="s">
        <v>318</v>
      </c>
      <c r="E194" s="6" t="s">
        <v>114</v>
      </c>
      <c r="F194" s="6" t="s">
        <v>346</v>
      </c>
      <c r="G194" s="1">
        <v>43990</v>
      </c>
      <c r="H194" s="1">
        <v>46546</v>
      </c>
      <c r="I194" s="7">
        <f>IF(H194-G194&gt;(365*5),1,0)</f>
        <v>1</v>
      </c>
      <c r="J194" s="22">
        <v>1</v>
      </c>
      <c r="K194" s="9" t="str">
        <f>IF($N194="USD",INDEX('Dólar Spot'!$C:$C,MATCH(Base!$G195,'Dólar Spot'!$A:$A,0)),"")</f>
        <v/>
      </c>
      <c r="L194" s="8">
        <v>175719000</v>
      </c>
      <c r="M194" s="7">
        <f>IF(N194="USD",L194*K194/1000000,L194/1000000)</f>
        <v>175.71899999999999</v>
      </c>
      <c r="N194" s="6" t="s">
        <v>348</v>
      </c>
      <c r="O194" s="9" t="str" cm="1">
        <f t="array" ref="O194">INDEX(Ratings!$B$2:$L$42,_xlfn.XMATCH(Base!E195,Ratings!$A$2:$A$42),_xlfn.XMATCH(YEAR(Base!G195),Ratings!$B$1:$L$1))</f>
        <v>C</v>
      </c>
      <c r="P194">
        <f>IF(AND(O194&lt;&gt;"BBB-",O194&lt;&gt;"BBB",O194&lt;&gt;"BBB+"),0,1)</f>
        <v>0</v>
      </c>
      <c r="Q194" s="7">
        <f>INDEX('Bonds ANBIMA'!$F:$F,MATCH(Base!$B195,'Bonds ANBIMA'!$A:$A,0))</f>
        <v>16886.984523809526</v>
      </c>
      <c r="R194" s="21">
        <f>INDEX('Bonds ANBIMA'!$H:$H,MATCH(Base!$B195,'Bonds ANBIMA'!$A:$A,0))</f>
        <v>0.70588235294117641</v>
      </c>
      <c r="S194" s="7">
        <f>INDEX('Debêntures ANBIMA'!$O:$O,MATCH(Base!$B195,'Debêntures ANBIMA'!$A:$A,0))</f>
        <v>375.80724257500003</v>
      </c>
      <c r="T194" s="24">
        <f>INDEX('Debêntures ANBIMA'!$P:$P,MATCH(Base!$B195,'Debêntures ANBIMA'!$A:$A,0))</f>
        <v>0.80877441343777279</v>
      </c>
    </row>
    <row r="195" spans="1:20" x14ac:dyDescent="0.35">
      <c r="A195">
        <f>YEAR(B195)</f>
        <v>2020</v>
      </c>
      <c r="B195" s="12">
        <f>DATE(YEAR(G195),MONTH(G195),DAY(1))</f>
        <v>43983</v>
      </c>
      <c r="C195">
        <f>IF(E195&lt;&gt;E194,C194+1,C194)</f>
        <v>26</v>
      </c>
      <c r="D195" s="6" t="s">
        <v>318</v>
      </c>
      <c r="E195" s="6" t="s">
        <v>114</v>
      </c>
      <c r="F195" s="6" t="s">
        <v>346</v>
      </c>
      <c r="G195" s="1">
        <v>43990</v>
      </c>
      <c r="H195" s="1">
        <v>46546</v>
      </c>
      <c r="I195" s="7">
        <f>IF(H195-G195&gt;(365*5),1,0)</f>
        <v>1</v>
      </c>
      <c r="J195" s="22">
        <v>1</v>
      </c>
      <c r="K195" s="9" t="str">
        <f>IF($N195="USD",INDEX('Dólar Spot'!$C:$C,MATCH(Base!$G196,'Dólar Spot'!$A:$A,0)),"")</f>
        <v/>
      </c>
      <c r="L195" s="8">
        <v>175719000</v>
      </c>
      <c r="M195" s="7">
        <f>IF(N195="USD",L195*K195/1000000,L195/1000000)</f>
        <v>175.71899999999999</v>
      </c>
      <c r="N195" s="6" t="s">
        <v>348</v>
      </c>
      <c r="O195" s="9" t="str" cm="1">
        <f t="array" ref="O195">INDEX(Ratings!$B$2:$L$42,_xlfn.XMATCH(Base!E196,Ratings!$A$2:$A$42),_xlfn.XMATCH(YEAR(Base!G196),Ratings!$B$1:$L$1))</f>
        <v>C</v>
      </c>
      <c r="P195">
        <f>IF(AND(O195&lt;&gt;"BBB-",O195&lt;&gt;"BBB",O195&lt;&gt;"BBB+"),0,1)</f>
        <v>0</v>
      </c>
      <c r="Q195" s="7">
        <f>INDEX('Bonds ANBIMA'!$F:$F,MATCH(Base!$B196,'Bonds ANBIMA'!$A:$A,0))</f>
        <v>16886.984523809526</v>
      </c>
      <c r="R195" s="21">
        <f>INDEX('Bonds ANBIMA'!$H:$H,MATCH(Base!$B196,'Bonds ANBIMA'!$A:$A,0))</f>
        <v>0.70588235294117641</v>
      </c>
      <c r="S195" s="7">
        <f>INDEX('Debêntures ANBIMA'!$O:$O,MATCH(Base!$B196,'Debêntures ANBIMA'!$A:$A,0))</f>
        <v>375.80724257500003</v>
      </c>
      <c r="T195" s="24">
        <f>INDEX('Debêntures ANBIMA'!$P:$P,MATCH(Base!$B196,'Debêntures ANBIMA'!$A:$A,0))</f>
        <v>0.80877441343777279</v>
      </c>
    </row>
    <row r="196" spans="1:20" x14ac:dyDescent="0.35">
      <c r="A196">
        <f>YEAR(B196)</f>
        <v>2020</v>
      </c>
      <c r="B196" s="12">
        <f>DATE(YEAR(G196),MONTH(G196),DAY(1))</f>
        <v>43983</v>
      </c>
      <c r="C196">
        <f>IF(E196&lt;&gt;E195,C195+1,C195)</f>
        <v>26</v>
      </c>
      <c r="D196" s="6" t="s">
        <v>318</v>
      </c>
      <c r="E196" s="6" t="s">
        <v>114</v>
      </c>
      <c r="F196" s="6" t="s">
        <v>346</v>
      </c>
      <c r="G196" s="1">
        <v>43990</v>
      </c>
      <c r="H196" s="1">
        <v>46546</v>
      </c>
      <c r="I196" s="7">
        <f>IF(H196-G196&gt;(365*5),1,0)</f>
        <v>1</v>
      </c>
      <c r="J196" s="22">
        <v>1</v>
      </c>
      <c r="K196" s="9" t="str">
        <f>IF($N196="USD",INDEX('Dólar Spot'!$C:$C,MATCH(Base!$G197,'Dólar Spot'!$A:$A,0)),"")</f>
        <v/>
      </c>
      <c r="L196" s="8">
        <v>168668000</v>
      </c>
      <c r="M196" s="7">
        <f>IF(N196="USD",L196*K196/1000000,L196/1000000)</f>
        <v>168.66800000000001</v>
      </c>
      <c r="N196" s="6" t="s">
        <v>348</v>
      </c>
      <c r="O196" s="9" t="str" cm="1">
        <f t="array" ref="O196">INDEX(Ratings!$B$2:$L$42,_xlfn.XMATCH(Base!E197,Ratings!$A$2:$A$42),_xlfn.XMATCH(YEAR(Base!G197),Ratings!$B$1:$L$1))</f>
        <v>C</v>
      </c>
      <c r="P196">
        <f>IF(AND(O196&lt;&gt;"BBB-",O196&lt;&gt;"BBB",O196&lt;&gt;"BBB+"),0,1)</f>
        <v>0</v>
      </c>
      <c r="Q196" s="7">
        <f>INDEX('Bonds ANBIMA'!$F:$F,MATCH(Base!$B197,'Bonds ANBIMA'!$A:$A,0))</f>
        <v>16886.984523809526</v>
      </c>
      <c r="R196" s="21">
        <f>INDEX('Bonds ANBIMA'!$H:$H,MATCH(Base!$B197,'Bonds ANBIMA'!$A:$A,0))</f>
        <v>0.70588235294117641</v>
      </c>
      <c r="S196" s="7">
        <f>INDEX('Debêntures ANBIMA'!$O:$O,MATCH(Base!$B197,'Debêntures ANBIMA'!$A:$A,0))</f>
        <v>375.80724257500003</v>
      </c>
      <c r="T196" s="24">
        <f>INDEX('Debêntures ANBIMA'!$P:$P,MATCH(Base!$B197,'Debêntures ANBIMA'!$A:$A,0))</f>
        <v>0.80877441343777279</v>
      </c>
    </row>
    <row r="197" spans="1:20" x14ac:dyDescent="0.35">
      <c r="A197">
        <f>YEAR(B197)</f>
        <v>2020</v>
      </c>
      <c r="B197" s="12">
        <f>DATE(YEAR(G197),MONTH(G197),DAY(1))</f>
        <v>43983</v>
      </c>
      <c r="C197">
        <f>IF(E197&lt;&gt;E196,C196+1,C196)</f>
        <v>26</v>
      </c>
      <c r="D197" s="6" t="s">
        <v>318</v>
      </c>
      <c r="E197" s="6" t="s">
        <v>114</v>
      </c>
      <c r="F197" s="6" t="s">
        <v>346</v>
      </c>
      <c r="G197" s="1">
        <v>43990</v>
      </c>
      <c r="H197" s="1">
        <v>46546</v>
      </c>
      <c r="I197" s="7">
        <f>IF(H197-G197&gt;(365*5),1,0)</f>
        <v>1</v>
      </c>
      <c r="J197" s="22">
        <v>1</v>
      </c>
      <c r="K197" s="9" t="str">
        <f>IF($N197="USD",INDEX('Dólar Spot'!$C:$C,MATCH(Base!$G198,'Dólar Spot'!$A:$A,0)),"")</f>
        <v/>
      </c>
      <c r="L197" s="8">
        <v>168667000</v>
      </c>
      <c r="M197" s="7">
        <f>IF(N197="USD",L197*K197/1000000,L197/1000000)</f>
        <v>168.667</v>
      </c>
      <c r="N197" s="6" t="s">
        <v>348</v>
      </c>
      <c r="O197" s="9" t="str" cm="1">
        <f t="array" ref="O197">INDEX(Ratings!$B$2:$L$42,_xlfn.XMATCH(Base!E198,Ratings!$A$2:$A$42),_xlfn.XMATCH(YEAR(Base!G198),Ratings!$B$1:$L$1))</f>
        <v>C</v>
      </c>
      <c r="P197">
        <f>IF(AND(O197&lt;&gt;"BBB-",O197&lt;&gt;"BBB",O197&lt;&gt;"BBB+"),0,1)</f>
        <v>0</v>
      </c>
      <c r="Q197" s="7">
        <f>INDEX('Bonds ANBIMA'!$F:$F,MATCH(Base!$B198,'Bonds ANBIMA'!$A:$A,0))</f>
        <v>16886.984523809526</v>
      </c>
      <c r="R197" s="21">
        <f>INDEX('Bonds ANBIMA'!$H:$H,MATCH(Base!$B198,'Bonds ANBIMA'!$A:$A,0))</f>
        <v>0.70588235294117641</v>
      </c>
      <c r="S197" s="7">
        <f>INDEX('Debêntures ANBIMA'!$O:$O,MATCH(Base!$B198,'Debêntures ANBIMA'!$A:$A,0))</f>
        <v>375.80724257500003</v>
      </c>
      <c r="T197" s="24">
        <f>INDEX('Debêntures ANBIMA'!$P:$P,MATCH(Base!$B198,'Debêntures ANBIMA'!$A:$A,0))</f>
        <v>0.80877441343777279</v>
      </c>
    </row>
    <row r="198" spans="1:20" x14ac:dyDescent="0.35">
      <c r="A198">
        <f>YEAR(B198)</f>
        <v>2020</v>
      </c>
      <c r="B198" s="12">
        <f>DATE(YEAR(G198),MONTH(G198),DAY(1))</f>
        <v>43983</v>
      </c>
      <c r="C198">
        <f>IF(E198&lt;&gt;E197,C197+1,C197)</f>
        <v>26</v>
      </c>
      <c r="D198" s="6" t="s">
        <v>318</v>
      </c>
      <c r="E198" s="6" t="s">
        <v>114</v>
      </c>
      <c r="F198" s="6" t="s">
        <v>346</v>
      </c>
      <c r="G198" s="1">
        <v>43990</v>
      </c>
      <c r="H198" s="1">
        <v>46546</v>
      </c>
      <c r="I198" s="7">
        <f>IF(H198-G198&gt;(365*5),1,0)</f>
        <v>1</v>
      </c>
      <c r="J198" s="22">
        <v>1</v>
      </c>
      <c r="K198" s="9" t="str">
        <f>IF($N198="USD",INDEX('Dólar Spot'!$C:$C,MATCH(Base!$G199,'Dólar Spot'!$A:$A,0)),"")</f>
        <v/>
      </c>
      <c r="L198" s="8">
        <v>168667000</v>
      </c>
      <c r="M198" s="7">
        <f>IF(N198="USD",L198*K198/1000000,L198/1000000)</f>
        <v>168.667</v>
      </c>
      <c r="N198" s="6" t="s">
        <v>348</v>
      </c>
      <c r="O198" s="9" t="str" cm="1">
        <f t="array" ref="O198">INDEX(Ratings!$B$2:$L$42,_xlfn.XMATCH(Base!E199,Ratings!$A$2:$A$42),_xlfn.XMATCH(YEAR(Base!G199),Ratings!$B$1:$L$1))</f>
        <v>C</v>
      </c>
      <c r="P198">
        <f>IF(AND(O198&lt;&gt;"BBB-",O198&lt;&gt;"BBB",O198&lt;&gt;"BBB+"),0,1)</f>
        <v>0</v>
      </c>
      <c r="Q198" s="7">
        <f>INDEX('Bonds ANBIMA'!$F:$F,MATCH(Base!$B199,'Bonds ANBIMA'!$A:$A,0))</f>
        <v>16886.984523809526</v>
      </c>
      <c r="R198" s="21">
        <f>INDEX('Bonds ANBIMA'!$H:$H,MATCH(Base!$B199,'Bonds ANBIMA'!$A:$A,0))</f>
        <v>0.70588235294117641</v>
      </c>
      <c r="S198" s="7">
        <f>INDEX('Debêntures ANBIMA'!$O:$O,MATCH(Base!$B199,'Debêntures ANBIMA'!$A:$A,0))</f>
        <v>375.80724257500003</v>
      </c>
      <c r="T198" s="24">
        <f>INDEX('Debêntures ANBIMA'!$P:$P,MATCH(Base!$B199,'Debêntures ANBIMA'!$A:$A,0))</f>
        <v>0.80877441343777279</v>
      </c>
    </row>
    <row r="199" spans="1:20" x14ac:dyDescent="0.35">
      <c r="A199">
        <f>YEAR(B199)</f>
        <v>2020</v>
      </c>
      <c r="B199" s="12">
        <f>DATE(YEAR(G199),MONTH(G199),DAY(1))</f>
        <v>43983</v>
      </c>
      <c r="C199">
        <f>IF(E199&lt;&gt;E198,C198+1,C198)</f>
        <v>26</v>
      </c>
      <c r="D199" s="6" t="s">
        <v>318</v>
      </c>
      <c r="E199" s="6" t="s">
        <v>114</v>
      </c>
      <c r="F199" s="6" t="s">
        <v>346</v>
      </c>
      <c r="G199" s="1">
        <v>43990</v>
      </c>
      <c r="H199" s="1">
        <v>46546</v>
      </c>
      <c r="I199" s="7">
        <f>IF(H199-G199&gt;(365*5),1,0)</f>
        <v>1</v>
      </c>
      <c r="J199" s="22">
        <v>1</v>
      </c>
      <c r="K199" s="9" t="str">
        <f>IF($N199="USD",INDEX('Dólar Spot'!$C:$C,MATCH(Base!$G200,'Dólar Spot'!$A:$A,0)),"")</f>
        <v/>
      </c>
      <c r="L199" s="8">
        <v>222334000</v>
      </c>
      <c r="M199" s="7">
        <f>IF(N199="USD",L199*K199/1000000,L199/1000000)</f>
        <v>222.334</v>
      </c>
      <c r="N199" s="6" t="s">
        <v>348</v>
      </c>
      <c r="O199" s="9" t="str" cm="1">
        <f t="array" ref="O199">INDEX(Ratings!$B$2:$L$42,_xlfn.XMATCH(Base!E200,Ratings!$A$2:$A$42),_xlfn.XMATCH(YEAR(Base!G200),Ratings!$B$1:$L$1))</f>
        <v>C</v>
      </c>
      <c r="P199">
        <f>IF(AND(O199&lt;&gt;"BBB-",O199&lt;&gt;"BBB",O199&lt;&gt;"BBB+"),0,1)</f>
        <v>0</v>
      </c>
      <c r="Q199" s="7">
        <f>INDEX('Bonds ANBIMA'!$F:$F,MATCH(Base!$B200,'Bonds ANBIMA'!$A:$A,0))</f>
        <v>16886.984523809526</v>
      </c>
      <c r="R199" s="21">
        <f>INDEX('Bonds ANBIMA'!$H:$H,MATCH(Base!$B200,'Bonds ANBIMA'!$A:$A,0))</f>
        <v>0.70588235294117641</v>
      </c>
      <c r="S199" s="7">
        <f>INDEX('Debêntures ANBIMA'!$O:$O,MATCH(Base!$B200,'Debêntures ANBIMA'!$A:$A,0))</f>
        <v>375.80724257500003</v>
      </c>
      <c r="T199" s="24">
        <f>INDEX('Debêntures ANBIMA'!$P:$P,MATCH(Base!$B200,'Debêntures ANBIMA'!$A:$A,0))</f>
        <v>0.80877441343777279</v>
      </c>
    </row>
    <row r="200" spans="1:20" x14ac:dyDescent="0.35">
      <c r="A200">
        <f>YEAR(B200)</f>
        <v>2020</v>
      </c>
      <c r="B200" s="12">
        <f>DATE(YEAR(G200),MONTH(G200),DAY(1))</f>
        <v>43983</v>
      </c>
      <c r="C200">
        <f>IF(E200&lt;&gt;E199,C199+1,C199)</f>
        <v>26</v>
      </c>
      <c r="D200" s="6" t="s">
        <v>318</v>
      </c>
      <c r="E200" s="6" t="s">
        <v>114</v>
      </c>
      <c r="F200" s="6" t="s">
        <v>346</v>
      </c>
      <c r="G200" s="1">
        <v>43990</v>
      </c>
      <c r="H200" s="1">
        <v>46546</v>
      </c>
      <c r="I200" s="7">
        <f>IF(H200-G200&gt;(365*5),1,0)</f>
        <v>1</v>
      </c>
      <c r="J200" s="22">
        <v>1</v>
      </c>
      <c r="K200" s="9" t="str">
        <f>IF($N200="USD",INDEX('Dólar Spot'!$C:$C,MATCH(Base!$G201,'Dólar Spot'!$A:$A,0)),"")</f>
        <v/>
      </c>
      <c r="L200" s="8">
        <v>222334000</v>
      </c>
      <c r="M200" s="7">
        <f>IF(N200="USD",L200*K200/1000000,L200/1000000)</f>
        <v>222.334</v>
      </c>
      <c r="N200" s="6" t="s">
        <v>348</v>
      </c>
      <c r="O200" s="9" t="str" cm="1">
        <f t="array" ref="O200">INDEX(Ratings!$B$2:$L$42,_xlfn.XMATCH(Base!E201,Ratings!$A$2:$A$42),_xlfn.XMATCH(YEAR(Base!G201),Ratings!$B$1:$L$1))</f>
        <v>C</v>
      </c>
      <c r="P200">
        <f>IF(AND(O200&lt;&gt;"BBB-",O200&lt;&gt;"BBB",O200&lt;&gt;"BBB+"),0,1)</f>
        <v>0</v>
      </c>
      <c r="Q200" s="7">
        <f>INDEX('Bonds ANBIMA'!$F:$F,MATCH(Base!$B201,'Bonds ANBIMA'!$A:$A,0))</f>
        <v>16886.984523809526</v>
      </c>
      <c r="R200" s="21">
        <f>INDEX('Bonds ANBIMA'!$H:$H,MATCH(Base!$B201,'Bonds ANBIMA'!$A:$A,0))</f>
        <v>0.70588235294117641</v>
      </c>
      <c r="S200" s="7">
        <f>INDEX('Debêntures ANBIMA'!$O:$O,MATCH(Base!$B201,'Debêntures ANBIMA'!$A:$A,0))</f>
        <v>375.80724257500003</v>
      </c>
      <c r="T200" s="24">
        <f>INDEX('Debêntures ANBIMA'!$P:$P,MATCH(Base!$B201,'Debêntures ANBIMA'!$A:$A,0))</f>
        <v>0.80877441343777279</v>
      </c>
    </row>
    <row r="201" spans="1:20" x14ac:dyDescent="0.35">
      <c r="A201">
        <f>YEAR(B201)</f>
        <v>2020</v>
      </c>
      <c r="B201" s="12">
        <f>DATE(YEAR(G201),MONTH(G201),DAY(1))</f>
        <v>43983</v>
      </c>
      <c r="C201">
        <f>IF(E201&lt;&gt;E200,C200+1,C200)</f>
        <v>26</v>
      </c>
      <c r="D201" s="6" t="s">
        <v>318</v>
      </c>
      <c r="E201" s="6" t="s">
        <v>114</v>
      </c>
      <c r="F201" s="6" t="s">
        <v>346</v>
      </c>
      <c r="G201" s="1">
        <v>43990</v>
      </c>
      <c r="H201" s="1">
        <v>46546</v>
      </c>
      <c r="I201" s="7">
        <f>IF(H201-G201&gt;(365*5),1,0)</f>
        <v>1</v>
      </c>
      <c r="J201" s="22">
        <v>1</v>
      </c>
      <c r="K201" s="9" t="str">
        <f>IF($N201="USD",INDEX('Dólar Spot'!$C:$C,MATCH(Base!$G202,'Dólar Spot'!$A:$A,0)),"")</f>
        <v/>
      </c>
      <c r="L201" s="8">
        <v>222334000</v>
      </c>
      <c r="M201" s="7">
        <f>IF(N201="USD",L201*K201/1000000,L201/1000000)</f>
        <v>222.334</v>
      </c>
      <c r="N201" s="6" t="s">
        <v>348</v>
      </c>
      <c r="O201" s="9" t="str" cm="1">
        <f t="array" ref="O201">INDEX(Ratings!$B$2:$L$42,_xlfn.XMATCH(Base!E202,Ratings!$A$2:$A$42),_xlfn.XMATCH(YEAR(Base!G202),Ratings!$B$1:$L$1))</f>
        <v>CCC</v>
      </c>
      <c r="P201">
        <f>IF(AND(O201&lt;&gt;"BBB-",O201&lt;&gt;"BBB",O201&lt;&gt;"BBB+"),0,1)</f>
        <v>0</v>
      </c>
      <c r="Q201" s="7">
        <f>INDEX('Bonds ANBIMA'!$F:$F,MATCH(Base!$B202,'Bonds ANBIMA'!$A:$A,0))</f>
        <v>2639.5452380952379</v>
      </c>
      <c r="R201" s="21">
        <f>INDEX('Bonds ANBIMA'!$H:$H,MATCH(Base!$B202,'Bonds ANBIMA'!$A:$A,0))</f>
        <v>0.75</v>
      </c>
      <c r="S201" s="7">
        <f>INDEX('Debêntures ANBIMA'!$O:$O,MATCH(Base!$B202,'Debêntures ANBIMA'!$A:$A,0))</f>
        <v>333.94772061764706</v>
      </c>
      <c r="T201" s="24">
        <f>INDEX('Debêntures ANBIMA'!$P:$P,MATCH(Base!$B202,'Debêntures ANBIMA'!$A:$A,0))</f>
        <v>0.70859317355091667</v>
      </c>
    </row>
    <row r="202" spans="1:20" x14ac:dyDescent="0.35">
      <c r="A202">
        <f>YEAR(B202)</f>
        <v>2021</v>
      </c>
      <c r="B202" s="12">
        <f>DATE(YEAR(G202),MONTH(G202),DAY(1))</f>
        <v>44440</v>
      </c>
      <c r="C202">
        <f>IF(E202&lt;&gt;E201,C201+1,C201)</f>
        <v>26</v>
      </c>
      <c r="D202" s="6" t="s">
        <v>318</v>
      </c>
      <c r="E202" s="6" t="s">
        <v>114</v>
      </c>
      <c r="F202" s="6" t="s">
        <v>346</v>
      </c>
      <c r="G202" s="1">
        <v>44463</v>
      </c>
      <c r="H202" s="1">
        <v>46546</v>
      </c>
      <c r="I202" s="7">
        <f>IF(H202-G202&gt;(365*5),1,0)</f>
        <v>1</v>
      </c>
      <c r="J202" s="22">
        <v>1</v>
      </c>
      <c r="K202" s="9" t="str">
        <f>IF($N202="USD",INDEX('Dólar Spot'!$C:$C,MATCH(Base!$G203,'Dólar Spot'!$A:$A,0)),"")</f>
        <v/>
      </c>
      <c r="L202" s="8">
        <v>103355000</v>
      </c>
      <c r="M202" s="7">
        <f>IF(N202="USD",L202*K202/1000000,L202/1000000)</f>
        <v>103.355</v>
      </c>
      <c r="N202" s="6" t="s">
        <v>348</v>
      </c>
      <c r="O202" s="9" t="str" cm="1">
        <f t="array" ref="O202">INDEX(Ratings!$B$2:$L$42,_xlfn.XMATCH(Base!E203,Ratings!$A$2:$A$42),_xlfn.XMATCH(YEAR(Base!G203),Ratings!$B$1:$L$1))</f>
        <v>CCC</v>
      </c>
      <c r="P202">
        <f>IF(AND(O202&lt;&gt;"BBB-",O202&lt;&gt;"BBB",O202&lt;&gt;"BBB+"),0,1)</f>
        <v>0</v>
      </c>
      <c r="Q202" s="7">
        <f>INDEX('Bonds ANBIMA'!$F:$F,MATCH(Base!$B203,'Bonds ANBIMA'!$A:$A,0))</f>
        <v>2639.5452380952379</v>
      </c>
      <c r="R202" s="21">
        <f>INDEX('Bonds ANBIMA'!$H:$H,MATCH(Base!$B203,'Bonds ANBIMA'!$A:$A,0))</f>
        <v>0.75</v>
      </c>
      <c r="S202" s="7">
        <f>INDEX('Debêntures ANBIMA'!$O:$O,MATCH(Base!$B203,'Debêntures ANBIMA'!$A:$A,0))</f>
        <v>333.94772061764706</v>
      </c>
      <c r="T202" s="24">
        <f>INDEX('Debêntures ANBIMA'!$P:$P,MATCH(Base!$B203,'Debêntures ANBIMA'!$A:$A,0))</f>
        <v>0.70859317355091667</v>
      </c>
    </row>
    <row r="203" spans="1:20" x14ac:dyDescent="0.35">
      <c r="A203">
        <f>YEAR(B203)</f>
        <v>2021</v>
      </c>
      <c r="B203" s="12">
        <f>DATE(YEAR(G203),MONTH(G203),DAY(1))</f>
        <v>44440</v>
      </c>
      <c r="C203">
        <f>IF(E203&lt;&gt;E202,C202+1,C202)</f>
        <v>26</v>
      </c>
      <c r="D203" s="6" t="s">
        <v>318</v>
      </c>
      <c r="E203" s="6" t="s">
        <v>114</v>
      </c>
      <c r="F203" s="6" t="s">
        <v>346</v>
      </c>
      <c r="G203" s="1">
        <v>44463</v>
      </c>
      <c r="H203" s="1">
        <v>46546</v>
      </c>
      <c r="I203" s="7">
        <f>IF(H203-G203&gt;(365*5),1,0)</f>
        <v>1</v>
      </c>
      <c r="J203" s="22">
        <v>1</v>
      </c>
      <c r="K203" s="9" t="str">
        <f>IF($N203="USD",INDEX('Dólar Spot'!$C:$C,MATCH(Base!$G204,'Dólar Spot'!$A:$A,0)),"")</f>
        <v/>
      </c>
      <c r="L203" s="8">
        <v>103354000</v>
      </c>
      <c r="M203" s="7">
        <f>IF(N203="USD",L203*K203/1000000,L203/1000000)</f>
        <v>103.354</v>
      </c>
      <c r="N203" s="6" t="s">
        <v>348</v>
      </c>
      <c r="O203" s="9" t="str" cm="1">
        <f t="array" ref="O203">INDEX(Ratings!$B$2:$L$42,_xlfn.XMATCH(Base!E204,Ratings!$A$2:$A$42),_xlfn.XMATCH(YEAR(Base!G204),Ratings!$B$1:$L$1))</f>
        <v>CCC</v>
      </c>
      <c r="P203">
        <f>IF(AND(O203&lt;&gt;"BBB-",O203&lt;&gt;"BBB",O203&lt;&gt;"BBB+"),0,1)</f>
        <v>0</v>
      </c>
      <c r="Q203" s="7">
        <f>INDEX('Bonds ANBIMA'!$F:$F,MATCH(Base!$B204,'Bonds ANBIMA'!$A:$A,0))</f>
        <v>2639.5452380952379</v>
      </c>
      <c r="R203" s="21">
        <f>INDEX('Bonds ANBIMA'!$H:$H,MATCH(Base!$B204,'Bonds ANBIMA'!$A:$A,0))</f>
        <v>0.75</v>
      </c>
      <c r="S203" s="7">
        <f>INDEX('Debêntures ANBIMA'!$O:$O,MATCH(Base!$B204,'Debêntures ANBIMA'!$A:$A,0))</f>
        <v>333.94772061764706</v>
      </c>
      <c r="T203" s="24">
        <f>INDEX('Debêntures ANBIMA'!$P:$P,MATCH(Base!$B204,'Debêntures ANBIMA'!$A:$A,0))</f>
        <v>0.70859317355091667</v>
      </c>
    </row>
    <row r="204" spans="1:20" x14ac:dyDescent="0.35">
      <c r="A204">
        <f>YEAR(B204)</f>
        <v>2021</v>
      </c>
      <c r="B204" s="12">
        <f>DATE(YEAR(G204),MONTH(G204),DAY(1))</f>
        <v>44440</v>
      </c>
      <c r="C204">
        <f>IF(E204&lt;&gt;E203,C203+1,C203)</f>
        <v>26</v>
      </c>
      <c r="D204" s="6" t="s">
        <v>318</v>
      </c>
      <c r="E204" s="6" t="s">
        <v>114</v>
      </c>
      <c r="F204" s="6" t="s">
        <v>346</v>
      </c>
      <c r="G204" s="1">
        <v>44463</v>
      </c>
      <c r="H204" s="1">
        <v>46546</v>
      </c>
      <c r="I204" s="7">
        <f>IF(H204-G204&gt;(365*5),1,0)</f>
        <v>1</v>
      </c>
      <c r="J204" s="22">
        <v>1</v>
      </c>
      <c r="K204" s="9" t="str">
        <f>IF($N204="USD",INDEX('Dólar Spot'!$C:$C,MATCH(Base!$G205,'Dólar Spot'!$A:$A,0)),"")</f>
        <v/>
      </c>
      <c r="L204" s="8">
        <v>103354000</v>
      </c>
      <c r="M204" s="7">
        <f>IF(N204="USD",L204*K204/1000000,L204/1000000)</f>
        <v>103.354</v>
      </c>
      <c r="N204" s="6" t="s">
        <v>348</v>
      </c>
      <c r="O204" s="9" t="str" cm="1">
        <f t="array" ref="O204">INDEX(Ratings!$B$2:$L$42,_xlfn.XMATCH(Base!E205,Ratings!$A$2:$A$42),_xlfn.XMATCH(YEAR(Base!G205),Ratings!$B$1:$L$1))</f>
        <v>CCC</v>
      </c>
      <c r="P204">
        <f>IF(AND(O204&lt;&gt;"BBB-",O204&lt;&gt;"BBB",O204&lt;&gt;"BBB+"),0,1)</f>
        <v>0</v>
      </c>
      <c r="Q204" s="7">
        <f>INDEX('Bonds ANBIMA'!$F:$F,MATCH(Base!$B205,'Bonds ANBIMA'!$A:$A,0))</f>
        <v>2639.5452380952379</v>
      </c>
      <c r="R204" s="21">
        <f>INDEX('Bonds ANBIMA'!$H:$H,MATCH(Base!$B205,'Bonds ANBIMA'!$A:$A,0))</f>
        <v>0.75</v>
      </c>
      <c r="S204" s="7">
        <f>INDEX('Debêntures ANBIMA'!$O:$O,MATCH(Base!$B205,'Debêntures ANBIMA'!$A:$A,0))</f>
        <v>333.94772061764706</v>
      </c>
      <c r="T204" s="24">
        <f>INDEX('Debêntures ANBIMA'!$P:$P,MATCH(Base!$B205,'Debêntures ANBIMA'!$A:$A,0))</f>
        <v>0.70859317355091667</v>
      </c>
    </row>
    <row r="205" spans="1:20" x14ac:dyDescent="0.35">
      <c r="A205">
        <f>YEAR(B205)</f>
        <v>2021</v>
      </c>
      <c r="B205" s="12">
        <f>DATE(YEAR(G205),MONTH(G205),DAY(1))</f>
        <v>44440</v>
      </c>
      <c r="C205">
        <f>IF(E205&lt;&gt;E204,C204+1,C204)</f>
        <v>26</v>
      </c>
      <c r="D205" s="6" t="s">
        <v>318</v>
      </c>
      <c r="E205" s="6" t="s">
        <v>114</v>
      </c>
      <c r="F205" s="6" t="s">
        <v>346</v>
      </c>
      <c r="G205" s="1">
        <v>44463</v>
      </c>
      <c r="H205" s="1">
        <v>46546</v>
      </c>
      <c r="I205" s="7">
        <f>IF(H205-G205&gt;(365*5),1,0)</f>
        <v>1</v>
      </c>
      <c r="J205" s="22">
        <v>1</v>
      </c>
      <c r="K205" s="9" t="str">
        <f>IF($N205="USD",INDEX('Dólar Spot'!$C:$C,MATCH(Base!$G206,'Dólar Spot'!$A:$A,0)),"")</f>
        <v/>
      </c>
      <c r="L205" s="8">
        <v>99207000</v>
      </c>
      <c r="M205" s="7">
        <f>IF(N205="USD",L205*K205/1000000,L205/1000000)</f>
        <v>99.206999999999994</v>
      </c>
      <c r="N205" s="6" t="s">
        <v>348</v>
      </c>
      <c r="O205" s="9" t="str" cm="1">
        <f t="array" ref="O205">INDEX(Ratings!$B$2:$L$42,_xlfn.XMATCH(Base!E206,Ratings!$A$2:$A$42),_xlfn.XMATCH(YEAR(Base!G206),Ratings!$B$1:$L$1))</f>
        <v>CCC</v>
      </c>
      <c r="P205">
        <f>IF(AND(O205&lt;&gt;"BBB-",O205&lt;&gt;"BBB",O205&lt;&gt;"BBB+"),0,1)</f>
        <v>0</v>
      </c>
      <c r="Q205" s="7">
        <f>INDEX('Bonds ANBIMA'!$F:$F,MATCH(Base!$B206,'Bonds ANBIMA'!$A:$A,0))</f>
        <v>2639.5452380952379</v>
      </c>
      <c r="R205" s="21">
        <f>INDEX('Bonds ANBIMA'!$H:$H,MATCH(Base!$B206,'Bonds ANBIMA'!$A:$A,0))</f>
        <v>0.75</v>
      </c>
      <c r="S205" s="7">
        <f>INDEX('Debêntures ANBIMA'!$O:$O,MATCH(Base!$B206,'Debêntures ANBIMA'!$A:$A,0))</f>
        <v>333.94772061764706</v>
      </c>
      <c r="T205" s="24">
        <f>INDEX('Debêntures ANBIMA'!$P:$P,MATCH(Base!$B206,'Debêntures ANBIMA'!$A:$A,0))</f>
        <v>0.70859317355091667</v>
      </c>
    </row>
    <row r="206" spans="1:20" x14ac:dyDescent="0.35">
      <c r="A206">
        <f>YEAR(B206)</f>
        <v>2021</v>
      </c>
      <c r="B206" s="12">
        <f>DATE(YEAR(G206),MONTH(G206),DAY(1))</f>
        <v>44440</v>
      </c>
      <c r="C206">
        <f>IF(E206&lt;&gt;E205,C205+1,C205)</f>
        <v>26</v>
      </c>
      <c r="D206" s="6" t="s">
        <v>318</v>
      </c>
      <c r="E206" s="6" t="s">
        <v>114</v>
      </c>
      <c r="F206" s="6" t="s">
        <v>346</v>
      </c>
      <c r="G206" s="1">
        <v>44463</v>
      </c>
      <c r="H206" s="1">
        <v>46546</v>
      </c>
      <c r="I206" s="7">
        <f>IF(H206-G206&gt;(365*5),1,0)</f>
        <v>1</v>
      </c>
      <c r="J206" s="22">
        <v>1</v>
      </c>
      <c r="K206" s="9" t="str">
        <f>IF($N206="USD",INDEX('Dólar Spot'!$C:$C,MATCH(Base!$G207,'Dólar Spot'!$A:$A,0)),"")</f>
        <v/>
      </c>
      <c r="L206" s="8">
        <v>99207000</v>
      </c>
      <c r="M206" s="7">
        <f>IF(N206="USD",L206*K206/1000000,L206/1000000)</f>
        <v>99.206999999999994</v>
      </c>
      <c r="N206" s="6" t="s">
        <v>348</v>
      </c>
      <c r="O206" s="9" t="str" cm="1">
        <f t="array" ref="O206">INDEX(Ratings!$B$2:$L$42,_xlfn.XMATCH(Base!E207,Ratings!$A$2:$A$42),_xlfn.XMATCH(YEAR(Base!G207),Ratings!$B$1:$L$1))</f>
        <v>CCC</v>
      </c>
      <c r="P206">
        <f>IF(AND(O206&lt;&gt;"BBB-",O206&lt;&gt;"BBB",O206&lt;&gt;"BBB+"),0,1)</f>
        <v>0</v>
      </c>
      <c r="Q206" s="7">
        <f>INDEX('Bonds ANBIMA'!$F:$F,MATCH(Base!$B207,'Bonds ANBIMA'!$A:$A,0))</f>
        <v>2639.5452380952379</v>
      </c>
      <c r="R206" s="21">
        <f>INDEX('Bonds ANBIMA'!$H:$H,MATCH(Base!$B207,'Bonds ANBIMA'!$A:$A,0))</f>
        <v>0.75</v>
      </c>
      <c r="S206" s="7">
        <f>INDEX('Debêntures ANBIMA'!$O:$O,MATCH(Base!$B207,'Debêntures ANBIMA'!$A:$A,0))</f>
        <v>333.94772061764706</v>
      </c>
      <c r="T206" s="24">
        <f>INDEX('Debêntures ANBIMA'!$P:$P,MATCH(Base!$B207,'Debêntures ANBIMA'!$A:$A,0))</f>
        <v>0.70859317355091667</v>
      </c>
    </row>
    <row r="207" spans="1:20" x14ac:dyDescent="0.35">
      <c r="A207">
        <f>YEAR(B207)</f>
        <v>2021</v>
      </c>
      <c r="B207" s="12">
        <f>DATE(YEAR(G207),MONTH(G207),DAY(1))</f>
        <v>44440</v>
      </c>
      <c r="C207">
        <f>IF(E207&lt;&gt;E206,C206+1,C206)</f>
        <v>26</v>
      </c>
      <c r="D207" s="6" t="s">
        <v>318</v>
      </c>
      <c r="E207" s="6" t="s">
        <v>114</v>
      </c>
      <c r="F207" s="6" t="s">
        <v>346</v>
      </c>
      <c r="G207" s="1">
        <v>44463</v>
      </c>
      <c r="H207" s="1">
        <v>46546</v>
      </c>
      <c r="I207" s="7">
        <f>IF(H207-G207&gt;(365*5),1,0)</f>
        <v>1</v>
      </c>
      <c r="J207" s="22">
        <v>1</v>
      </c>
      <c r="K207" s="9" t="str">
        <f>IF($N207="USD",INDEX('Dólar Spot'!$C:$C,MATCH(Base!$G208,'Dólar Spot'!$A:$A,0)),"")</f>
        <v/>
      </c>
      <c r="L207" s="8">
        <v>99206000</v>
      </c>
      <c r="M207" s="7">
        <f>IF(N207="USD",L207*K207/1000000,L207/1000000)</f>
        <v>99.206000000000003</v>
      </c>
      <c r="N207" s="6" t="s">
        <v>348</v>
      </c>
      <c r="O207" s="9" t="str" cm="1">
        <f t="array" ref="O207">INDEX(Ratings!$B$2:$L$42,_xlfn.XMATCH(Base!E208,Ratings!$A$2:$A$42),_xlfn.XMATCH(YEAR(Base!G208),Ratings!$B$1:$L$1))</f>
        <v>CCC</v>
      </c>
      <c r="P207">
        <f>IF(AND(O207&lt;&gt;"BBB-",O207&lt;&gt;"BBB",O207&lt;&gt;"BBB+"),0,1)</f>
        <v>0</v>
      </c>
      <c r="Q207" s="7">
        <f>INDEX('Bonds ANBIMA'!$F:$F,MATCH(Base!$B208,'Bonds ANBIMA'!$A:$A,0))</f>
        <v>2639.5452380952379</v>
      </c>
      <c r="R207" s="21">
        <f>INDEX('Bonds ANBIMA'!$H:$H,MATCH(Base!$B208,'Bonds ANBIMA'!$A:$A,0))</f>
        <v>0.75</v>
      </c>
      <c r="S207" s="7">
        <f>INDEX('Debêntures ANBIMA'!$O:$O,MATCH(Base!$B208,'Debêntures ANBIMA'!$A:$A,0))</f>
        <v>333.94772061764706</v>
      </c>
      <c r="T207" s="24">
        <f>INDEX('Debêntures ANBIMA'!$P:$P,MATCH(Base!$B208,'Debêntures ANBIMA'!$A:$A,0))</f>
        <v>0.70859317355091667</v>
      </c>
    </row>
    <row r="208" spans="1:20" x14ac:dyDescent="0.35">
      <c r="A208">
        <f>YEAR(B208)</f>
        <v>2021</v>
      </c>
      <c r="B208" s="12">
        <f>DATE(YEAR(G208),MONTH(G208),DAY(1))</f>
        <v>44440</v>
      </c>
      <c r="C208">
        <f>IF(E208&lt;&gt;E207,C207+1,C207)</f>
        <v>26</v>
      </c>
      <c r="D208" s="6" t="s">
        <v>318</v>
      </c>
      <c r="E208" s="6" t="s">
        <v>114</v>
      </c>
      <c r="F208" s="6" t="s">
        <v>346</v>
      </c>
      <c r="G208" s="1">
        <v>44463</v>
      </c>
      <c r="H208" s="1">
        <v>46546</v>
      </c>
      <c r="I208" s="7">
        <f>IF(H208-G208&gt;(365*5),1,0)</f>
        <v>1</v>
      </c>
      <c r="J208" s="22">
        <v>1</v>
      </c>
      <c r="K208" s="9" t="str">
        <f>IF($N208="USD",INDEX('Dólar Spot'!$C:$C,MATCH(Base!$G209,'Dólar Spot'!$A:$A,0)),"")</f>
        <v/>
      </c>
      <c r="L208" s="8">
        <v>130773000</v>
      </c>
      <c r="M208" s="7">
        <f>IF(N208="USD",L208*K208/1000000,L208/1000000)</f>
        <v>130.773</v>
      </c>
      <c r="N208" s="6" t="s">
        <v>348</v>
      </c>
      <c r="O208" s="9" t="str" cm="1">
        <f t="array" ref="O208">INDEX(Ratings!$B$2:$L$42,_xlfn.XMATCH(Base!E209,Ratings!$A$2:$A$42),_xlfn.XMATCH(YEAR(Base!G209),Ratings!$B$1:$L$1))</f>
        <v>CCC</v>
      </c>
      <c r="P208">
        <f>IF(AND(O208&lt;&gt;"BBB-",O208&lt;&gt;"BBB",O208&lt;&gt;"BBB+"),0,1)</f>
        <v>0</v>
      </c>
      <c r="Q208" s="7">
        <f>INDEX('Bonds ANBIMA'!$F:$F,MATCH(Base!$B209,'Bonds ANBIMA'!$A:$A,0))</f>
        <v>2639.5452380952379</v>
      </c>
      <c r="R208" s="21">
        <f>INDEX('Bonds ANBIMA'!$H:$H,MATCH(Base!$B209,'Bonds ANBIMA'!$A:$A,0))</f>
        <v>0.75</v>
      </c>
      <c r="S208" s="7">
        <f>INDEX('Debêntures ANBIMA'!$O:$O,MATCH(Base!$B209,'Debêntures ANBIMA'!$A:$A,0))</f>
        <v>333.94772061764706</v>
      </c>
      <c r="T208" s="24">
        <f>INDEX('Debêntures ANBIMA'!$P:$P,MATCH(Base!$B209,'Debêntures ANBIMA'!$A:$A,0))</f>
        <v>0.70859317355091667</v>
      </c>
    </row>
    <row r="209" spans="1:20" x14ac:dyDescent="0.35">
      <c r="A209">
        <f>YEAR(B209)</f>
        <v>2021</v>
      </c>
      <c r="B209" s="12">
        <f>DATE(YEAR(G209),MONTH(G209),DAY(1))</f>
        <v>44440</v>
      </c>
      <c r="C209">
        <f>IF(E209&lt;&gt;E208,C208+1,C208)</f>
        <v>26</v>
      </c>
      <c r="D209" s="6" t="s">
        <v>318</v>
      </c>
      <c r="E209" s="6" t="s">
        <v>114</v>
      </c>
      <c r="F209" s="6" t="s">
        <v>346</v>
      </c>
      <c r="G209" s="1">
        <v>44463</v>
      </c>
      <c r="H209" s="1">
        <v>46546</v>
      </c>
      <c r="I209" s="7">
        <f>IF(H209-G209&gt;(365*5),1,0)</f>
        <v>1</v>
      </c>
      <c r="J209" s="22">
        <v>1</v>
      </c>
      <c r="K209" s="9" t="str">
        <f>IF($N209="USD",INDEX('Dólar Spot'!$C:$C,MATCH(Base!$G210,'Dólar Spot'!$A:$A,0)),"")</f>
        <v/>
      </c>
      <c r="L209" s="8">
        <v>130772000</v>
      </c>
      <c r="M209" s="7">
        <f>IF(N209="USD",L209*K209/1000000,L209/1000000)</f>
        <v>130.77199999999999</v>
      </c>
      <c r="N209" s="6" t="s">
        <v>348</v>
      </c>
      <c r="O209" s="9" t="str" cm="1">
        <f t="array" ref="O209">INDEX(Ratings!$B$2:$L$42,_xlfn.XMATCH(Base!E210,Ratings!$A$2:$A$42),_xlfn.XMATCH(YEAR(Base!G210),Ratings!$B$1:$L$1))</f>
        <v>CCC</v>
      </c>
      <c r="P209">
        <f>IF(AND(O209&lt;&gt;"BBB-",O209&lt;&gt;"BBB",O209&lt;&gt;"BBB+"),0,1)</f>
        <v>0</v>
      </c>
      <c r="Q209" s="7">
        <f>INDEX('Bonds ANBIMA'!$F:$F,MATCH(Base!$B210,'Bonds ANBIMA'!$A:$A,0))</f>
        <v>2639.5452380952379</v>
      </c>
      <c r="R209" s="21">
        <f>INDEX('Bonds ANBIMA'!$H:$H,MATCH(Base!$B210,'Bonds ANBIMA'!$A:$A,0))</f>
        <v>0.75</v>
      </c>
      <c r="S209" s="7">
        <f>INDEX('Debêntures ANBIMA'!$O:$O,MATCH(Base!$B210,'Debêntures ANBIMA'!$A:$A,0))</f>
        <v>333.94772061764706</v>
      </c>
      <c r="T209" s="24">
        <f>INDEX('Debêntures ANBIMA'!$P:$P,MATCH(Base!$B210,'Debêntures ANBIMA'!$A:$A,0))</f>
        <v>0.70859317355091667</v>
      </c>
    </row>
    <row r="210" spans="1:20" x14ac:dyDescent="0.35">
      <c r="A210">
        <f>YEAR(B210)</f>
        <v>2021</v>
      </c>
      <c r="B210" s="12">
        <f>DATE(YEAR(G210),MONTH(G210),DAY(1))</f>
        <v>44440</v>
      </c>
      <c r="C210">
        <f>IF(E210&lt;&gt;E209,C209+1,C209)</f>
        <v>26</v>
      </c>
      <c r="D210" s="6" t="s">
        <v>318</v>
      </c>
      <c r="E210" s="6" t="s">
        <v>114</v>
      </c>
      <c r="F210" s="6" t="s">
        <v>346</v>
      </c>
      <c r="G210" s="1">
        <v>44463</v>
      </c>
      <c r="H210" s="1">
        <v>46546</v>
      </c>
      <c r="I210" s="7">
        <f>IF(H210-G210&gt;(365*5),1,0)</f>
        <v>1</v>
      </c>
      <c r="J210" s="22">
        <v>1</v>
      </c>
      <c r="K210" s="9" t="str">
        <f>IF($N210="USD",INDEX('Dólar Spot'!$C:$C,MATCH(Base!$G211,'Dólar Spot'!$A:$A,0)),"")</f>
        <v/>
      </c>
      <c r="L210" s="8">
        <v>130772000</v>
      </c>
      <c r="M210" s="7">
        <f>IF(N210="USD",L210*K210/1000000,L210/1000000)</f>
        <v>130.77199999999999</v>
      </c>
      <c r="N210" s="6" t="s">
        <v>348</v>
      </c>
      <c r="O210" s="9" t="str" cm="1">
        <f t="array" ref="O210">INDEX(Ratings!$B$2:$L$42,_xlfn.XMATCH(Base!E211,Ratings!$A$2:$A$42),_xlfn.XMATCH(YEAR(Base!G211),Ratings!$B$1:$L$1))</f>
        <v>NR</v>
      </c>
      <c r="P210">
        <f>IF(AND(O210&lt;&gt;"BBB-",O210&lt;&gt;"BBB",O210&lt;&gt;"BBB+"),0,1)</f>
        <v>0</v>
      </c>
      <c r="Q210" s="7">
        <f>INDEX('Bonds ANBIMA'!$F:$F,MATCH(Base!$B211,'Bonds ANBIMA'!$A:$A,0))</f>
        <v>1671.3360756756758</v>
      </c>
      <c r="R210" s="21">
        <f>INDEX('Bonds ANBIMA'!$H:$H,MATCH(Base!$B211,'Bonds ANBIMA'!$A:$A,0))</f>
        <v>0.81690140845070425</v>
      </c>
      <c r="S210" s="7">
        <f>INDEX('Debêntures ANBIMA'!$O:$O,MATCH(Base!$B211,'Debêntures ANBIMA'!$A:$A,0))</f>
        <v>384.58057142857143</v>
      </c>
      <c r="T210" s="24">
        <f>INDEX('Debêntures ANBIMA'!$P:$P,MATCH(Base!$B211,'Debêntures ANBIMA'!$A:$A,0))</f>
        <v>0.8593261800811931</v>
      </c>
    </row>
    <row r="211" spans="1:20" x14ac:dyDescent="0.35">
      <c r="A211">
        <f>YEAR(B211)</f>
        <v>2012</v>
      </c>
      <c r="B211" s="12">
        <f>DATE(YEAR(G211),MONTH(G211),DAY(1))</f>
        <v>41244</v>
      </c>
      <c r="C211">
        <f>IF(E211&lt;&gt;E210,C210+1,C210)</f>
        <v>26</v>
      </c>
      <c r="D211" s="6" t="s">
        <v>318</v>
      </c>
      <c r="E211" s="6" t="s">
        <v>114</v>
      </c>
      <c r="F211" s="6" t="s">
        <v>346</v>
      </c>
      <c r="G211" s="1">
        <v>41264</v>
      </c>
      <c r="H211" s="1">
        <v>44794</v>
      </c>
      <c r="I211" s="7">
        <f>IF(H211-G211&gt;(365*5),1,0)</f>
        <v>1</v>
      </c>
      <c r="J211" s="22">
        <v>1</v>
      </c>
      <c r="K211" s="9" t="str">
        <f>IF($N211="USD",INDEX('Dólar Spot'!$C:$C,MATCH(Base!$G212,'Dólar Spot'!$A:$A,0)),"")</f>
        <v/>
      </c>
      <c r="L211" s="8">
        <v>1200000000</v>
      </c>
      <c r="M211" s="7">
        <f>IF(N211="USD",L211*K211/1000000,L211/1000000)</f>
        <v>1200</v>
      </c>
      <c r="N211" s="6" t="s">
        <v>348</v>
      </c>
      <c r="O211" s="9" t="str" cm="1">
        <f t="array" ref="O211">INDEX(Ratings!$B$2:$L$42,_xlfn.XMATCH(Base!E212,Ratings!$A$2:$A$42),_xlfn.XMATCH(YEAR(Base!G212),Ratings!$B$1:$L$1))</f>
        <v>BB</v>
      </c>
      <c r="P211">
        <f>IF(AND(O211&lt;&gt;"BBB-",O211&lt;&gt;"BBB",O211&lt;&gt;"BBB+"),0,1)</f>
        <v>0</v>
      </c>
      <c r="Q211" s="7">
        <f>INDEX('Bonds ANBIMA'!$F:$F,MATCH(Base!$B212,'Bonds ANBIMA'!$A:$A,0))</f>
        <v>1942.8623457223</v>
      </c>
      <c r="R211" s="21">
        <f>INDEX('Bonds ANBIMA'!$H:$H,MATCH(Base!$B212,'Bonds ANBIMA'!$A:$A,0))</f>
        <v>0.7592592592592593</v>
      </c>
      <c r="S211" s="7">
        <f>INDEX('Debêntures ANBIMA'!$O:$O,MATCH(Base!$B212,'Debêntures ANBIMA'!$A:$A,0))</f>
        <v>161.08695652173913</v>
      </c>
      <c r="T211" s="24">
        <f>INDEX('Debêntures ANBIMA'!$P:$P,MATCH(Base!$B212,'Debêntures ANBIMA'!$A:$A,0))</f>
        <v>0.3951417004048583</v>
      </c>
    </row>
    <row r="212" spans="1:20" x14ac:dyDescent="0.35">
      <c r="A212">
        <f>YEAR(B212)</f>
        <v>2014</v>
      </c>
      <c r="B212" s="12">
        <f>DATE(YEAR(G212),MONTH(G212),DAY(1))</f>
        <v>41821</v>
      </c>
      <c r="C212">
        <f>IF(E212&lt;&gt;E211,C211+1,C211)</f>
        <v>26</v>
      </c>
      <c r="D212" s="6" t="s">
        <v>115</v>
      </c>
      <c r="E212" s="6" t="s">
        <v>114</v>
      </c>
      <c r="F212" s="6" t="s">
        <v>233</v>
      </c>
      <c r="G212" s="1">
        <v>41837</v>
      </c>
      <c r="H212" s="1" t="s">
        <v>116</v>
      </c>
      <c r="I212" s="7">
        <f>IF(H212-G212&gt;(365*5),1,0)</f>
        <v>1</v>
      </c>
      <c r="J212" s="22">
        <v>1</v>
      </c>
      <c r="K212" s="9">
        <f>IF($N212="USD",INDEX('Dólar Spot'!$C:$C,MATCH(Base!$G191,'Dólar Spot'!$A:$A,0)),"")</f>
        <v>1.8861000000000001</v>
      </c>
      <c r="L212" s="8">
        <v>750000000</v>
      </c>
      <c r="M212" s="7">
        <f>IF(N212="USD",L212*K212/1000000,L212/1000000)</f>
        <v>1414.575</v>
      </c>
      <c r="N212" s="6" t="s">
        <v>16</v>
      </c>
      <c r="O212" s="9" t="str" cm="1">
        <f t="array" ref="O212">INDEX(Ratings!$B$2:$L$42,_xlfn.XMATCH(Base!E191,Ratings!$A$2:$A$42),_xlfn.XMATCH(YEAR(Base!G191),Ratings!$B$1:$L$1))</f>
        <v>NR</v>
      </c>
      <c r="P212">
        <f>IF(AND(O212&lt;&gt;"BBB-",O212&lt;&gt;"BBB",O212&lt;&gt;"BBB+"),0,1)</f>
        <v>0</v>
      </c>
      <c r="Q212" s="7">
        <f>INDEX('Bonds ANBIMA'!$F:$F,MATCH(Base!$B191,'Bonds ANBIMA'!$A:$A,0))</f>
        <v>1491.8994121621624</v>
      </c>
      <c r="R212" s="21">
        <f>INDEX('Bonds ANBIMA'!$H:$H,MATCH(Base!$B191,'Bonds ANBIMA'!$A:$A,0))</f>
        <v>0.81690140845070425</v>
      </c>
      <c r="S212" s="7">
        <f>INDEX('Debêntures ANBIMA'!$O:$O,MATCH(Base!$B191,'Debêntures ANBIMA'!$A:$A,0))</f>
        <v>368.47826086956519</v>
      </c>
      <c r="T212" s="24">
        <f>INDEX('Debêntures ANBIMA'!$P:$P,MATCH(Base!$B191,'Debêntures ANBIMA'!$A:$A,0))</f>
        <v>0.7078466076696166</v>
      </c>
    </row>
    <row r="213" spans="1:20" x14ac:dyDescent="0.35">
      <c r="A213">
        <f>YEAR(B213)</f>
        <v>2020</v>
      </c>
      <c r="B213" s="12">
        <f>DATE(YEAR(G213),MONTH(G213),DAY(1))</f>
        <v>43983</v>
      </c>
      <c r="C213">
        <f>IF(E213&lt;&gt;E212,C212+1,C212)</f>
        <v>26</v>
      </c>
      <c r="D213" s="6" t="s">
        <v>319</v>
      </c>
      <c r="E213" s="6" t="s">
        <v>114</v>
      </c>
      <c r="F213" s="6" t="s">
        <v>346</v>
      </c>
      <c r="G213" s="1">
        <v>43990</v>
      </c>
      <c r="H213" s="1">
        <v>46546</v>
      </c>
      <c r="I213" s="7">
        <f>IF(H213-G213&gt;(365*5),1,0)</f>
        <v>1</v>
      </c>
      <c r="J213" s="22">
        <v>1</v>
      </c>
      <c r="K213" s="9" t="str">
        <f>IF($N213="USD",INDEX('Dólar Spot'!$C:$C,MATCH(Base!$G213,'Dólar Spot'!$A:$A,0)),"")</f>
        <v/>
      </c>
      <c r="L213" s="8">
        <v>307652000</v>
      </c>
      <c r="M213" s="7">
        <f>IF(N213="USD",L213*K213/1000000,L213/1000000)</f>
        <v>307.65199999999999</v>
      </c>
      <c r="N213" s="6" t="s">
        <v>348</v>
      </c>
      <c r="O213" s="9" t="str" cm="1">
        <f t="array" ref="O213">INDEX(Ratings!$B$2:$L$42,_xlfn.XMATCH(Base!E213,Ratings!$A$2:$A$42),_xlfn.XMATCH(YEAR(Base!G213),Ratings!$B$1:$L$1))</f>
        <v>C</v>
      </c>
      <c r="P213">
        <f>IF(AND(O213&lt;&gt;"BBB-",O213&lt;&gt;"BBB",O213&lt;&gt;"BBB+"),0,1)</f>
        <v>0</v>
      </c>
      <c r="Q213" s="7">
        <f>INDEX('Bonds ANBIMA'!$F:$F,MATCH(Base!$B213,'Bonds ANBIMA'!$A:$A,0))</f>
        <v>16886.984523809526</v>
      </c>
      <c r="R213" s="21">
        <f>INDEX('Bonds ANBIMA'!$H:$H,MATCH(Base!$B213,'Bonds ANBIMA'!$A:$A,0))</f>
        <v>0.70588235294117641</v>
      </c>
      <c r="S213" s="7">
        <f>INDEX('Debêntures ANBIMA'!$O:$O,MATCH(Base!$B213,'Debêntures ANBIMA'!$A:$A,0))</f>
        <v>375.80724257500003</v>
      </c>
      <c r="T213" s="24">
        <f>INDEX('Debêntures ANBIMA'!$P:$P,MATCH(Base!$B213,'Debêntures ANBIMA'!$A:$A,0))</f>
        <v>0.80877441343777279</v>
      </c>
    </row>
    <row r="214" spans="1:20" x14ac:dyDescent="0.35">
      <c r="A214">
        <f>YEAR(B214)</f>
        <v>2020</v>
      </c>
      <c r="B214" s="12">
        <f>DATE(YEAR(G214),MONTH(G214),DAY(1))</f>
        <v>43983</v>
      </c>
      <c r="C214">
        <f>IF(E214&lt;&gt;E213,C213+1,C213)</f>
        <v>26</v>
      </c>
      <c r="D214" s="6" t="s">
        <v>319</v>
      </c>
      <c r="E214" s="6" t="s">
        <v>114</v>
      </c>
      <c r="F214" s="6" t="s">
        <v>346</v>
      </c>
      <c r="G214" s="1">
        <v>43990</v>
      </c>
      <c r="H214" s="1">
        <v>46546</v>
      </c>
      <c r="I214" s="7">
        <f>IF(H214-G214&gt;(365*5),1,0)</f>
        <v>1</v>
      </c>
      <c r="J214" s="22">
        <v>1</v>
      </c>
      <c r="K214" s="9" t="str">
        <f>IF($N214="USD",INDEX('Dólar Spot'!$C:$C,MATCH(Base!$G214,'Dólar Spot'!$A:$A,0)),"")</f>
        <v/>
      </c>
      <c r="L214" s="8">
        <v>307651000</v>
      </c>
      <c r="M214" s="7">
        <f>IF(N214="USD",L214*K214/1000000,L214/1000000)</f>
        <v>307.65100000000001</v>
      </c>
      <c r="N214" s="6" t="s">
        <v>348</v>
      </c>
      <c r="O214" s="9" t="str" cm="1">
        <f t="array" ref="O214">INDEX(Ratings!$B$2:$L$42,_xlfn.XMATCH(Base!E214,Ratings!$A$2:$A$42),_xlfn.XMATCH(YEAR(Base!G214),Ratings!$B$1:$L$1))</f>
        <v>C</v>
      </c>
      <c r="P214">
        <f>IF(AND(O214&lt;&gt;"BBB-",O214&lt;&gt;"BBB",O214&lt;&gt;"BBB+"),0,1)</f>
        <v>0</v>
      </c>
      <c r="Q214" s="7">
        <f>INDEX('Bonds ANBIMA'!$F:$F,MATCH(Base!$B214,'Bonds ANBIMA'!$A:$A,0))</f>
        <v>16886.984523809526</v>
      </c>
      <c r="R214" s="21">
        <f>INDEX('Bonds ANBIMA'!$H:$H,MATCH(Base!$B214,'Bonds ANBIMA'!$A:$A,0))</f>
        <v>0.70588235294117641</v>
      </c>
      <c r="S214" s="7">
        <f>INDEX('Debêntures ANBIMA'!$O:$O,MATCH(Base!$B214,'Debêntures ANBIMA'!$A:$A,0))</f>
        <v>375.80724257500003</v>
      </c>
      <c r="T214" s="24">
        <f>INDEX('Debêntures ANBIMA'!$P:$P,MATCH(Base!$B214,'Debêntures ANBIMA'!$A:$A,0))</f>
        <v>0.80877441343777279</v>
      </c>
    </row>
    <row r="215" spans="1:20" x14ac:dyDescent="0.35">
      <c r="A215">
        <f>YEAR(B215)</f>
        <v>2020</v>
      </c>
      <c r="B215" s="12">
        <f>DATE(YEAR(G215),MONTH(G215),DAY(1))</f>
        <v>43983</v>
      </c>
      <c r="C215">
        <f>IF(E215&lt;&gt;E214,C214+1,C214)</f>
        <v>26</v>
      </c>
      <c r="D215" s="6" t="s">
        <v>319</v>
      </c>
      <c r="E215" s="6" t="s">
        <v>114</v>
      </c>
      <c r="F215" s="6" t="s">
        <v>346</v>
      </c>
      <c r="G215" s="1">
        <v>43990</v>
      </c>
      <c r="H215" s="1">
        <v>46546</v>
      </c>
      <c r="I215" s="7">
        <f>IF(H215-G215&gt;(365*5),1,0)</f>
        <v>1</v>
      </c>
      <c r="J215" s="22">
        <v>1</v>
      </c>
      <c r="K215" s="9" t="str">
        <f>IF($N215="USD",INDEX('Dólar Spot'!$C:$C,MATCH(Base!$G215,'Dólar Spot'!$A:$A,0)),"")</f>
        <v/>
      </c>
      <c r="L215" s="8">
        <v>307651000</v>
      </c>
      <c r="M215" s="7">
        <f>IF(N215="USD",L215*K215/1000000,L215/1000000)</f>
        <v>307.65100000000001</v>
      </c>
      <c r="N215" s="6" t="s">
        <v>348</v>
      </c>
      <c r="O215" s="9" t="str" cm="1">
        <f t="array" ref="O215">INDEX(Ratings!$B$2:$L$42,_xlfn.XMATCH(Base!E215,Ratings!$A$2:$A$42),_xlfn.XMATCH(YEAR(Base!G215),Ratings!$B$1:$L$1))</f>
        <v>C</v>
      </c>
      <c r="P215">
        <f>IF(AND(O215&lt;&gt;"BBB-",O215&lt;&gt;"BBB",O215&lt;&gt;"BBB+"),0,1)</f>
        <v>0</v>
      </c>
      <c r="Q215" s="7">
        <f>INDEX('Bonds ANBIMA'!$F:$F,MATCH(Base!$B215,'Bonds ANBIMA'!$A:$A,0))</f>
        <v>16886.984523809526</v>
      </c>
      <c r="R215" s="21">
        <f>INDEX('Bonds ANBIMA'!$H:$H,MATCH(Base!$B215,'Bonds ANBIMA'!$A:$A,0))</f>
        <v>0.70588235294117641</v>
      </c>
      <c r="S215" s="7">
        <f>INDEX('Debêntures ANBIMA'!$O:$O,MATCH(Base!$B215,'Debêntures ANBIMA'!$A:$A,0))</f>
        <v>375.80724257500003</v>
      </c>
      <c r="T215" s="24">
        <f>INDEX('Debêntures ANBIMA'!$P:$P,MATCH(Base!$B215,'Debêntures ANBIMA'!$A:$A,0))</f>
        <v>0.80877441343777279</v>
      </c>
    </row>
    <row r="216" spans="1:20" x14ac:dyDescent="0.35">
      <c r="A216">
        <f>YEAR(B216)</f>
        <v>2020</v>
      </c>
      <c r="B216" s="12">
        <f>DATE(YEAR(G216),MONTH(G216),DAY(1))</f>
        <v>43983</v>
      </c>
      <c r="C216">
        <f>IF(E216&lt;&gt;E215,C215+1,C215)</f>
        <v>26</v>
      </c>
      <c r="D216" s="6" t="s">
        <v>319</v>
      </c>
      <c r="E216" s="6" t="s">
        <v>114</v>
      </c>
      <c r="F216" s="6" t="s">
        <v>346</v>
      </c>
      <c r="G216" s="1">
        <v>43990</v>
      </c>
      <c r="H216" s="1">
        <v>46546</v>
      </c>
      <c r="I216" s="7">
        <f>IF(H216-G216&gt;(365*5),1,0)</f>
        <v>1</v>
      </c>
      <c r="J216" s="22">
        <v>1</v>
      </c>
      <c r="K216" s="9" t="str">
        <f>IF($N216="USD",INDEX('Dólar Spot'!$C:$C,MATCH(Base!$G216,'Dólar Spot'!$A:$A,0)),"")</f>
        <v/>
      </c>
      <c r="L216" s="8">
        <v>295305000</v>
      </c>
      <c r="M216" s="7">
        <f>IF(N216="USD",L216*K216/1000000,L216/1000000)</f>
        <v>295.30500000000001</v>
      </c>
      <c r="N216" s="6" t="s">
        <v>348</v>
      </c>
      <c r="O216" s="9" t="str" cm="1">
        <f t="array" ref="O216">INDEX(Ratings!$B$2:$L$42,_xlfn.XMATCH(Base!E216,Ratings!$A$2:$A$42),_xlfn.XMATCH(YEAR(Base!G216),Ratings!$B$1:$L$1))</f>
        <v>C</v>
      </c>
      <c r="P216">
        <f>IF(AND(O216&lt;&gt;"BBB-",O216&lt;&gt;"BBB",O216&lt;&gt;"BBB+"),0,1)</f>
        <v>0</v>
      </c>
      <c r="Q216" s="7">
        <f>INDEX('Bonds ANBIMA'!$F:$F,MATCH(Base!$B216,'Bonds ANBIMA'!$A:$A,0))</f>
        <v>16886.984523809526</v>
      </c>
      <c r="R216" s="21">
        <f>INDEX('Bonds ANBIMA'!$H:$H,MATCH(Base!$B216,'Bonds ANBIMA'!$A:$A,0))</f>
        <v>0.70588235294117641</v>
      </c>
      <c r="S216" s="7">
        <f>INDEX('Debêntures ANBIMA'!$O:$O,MATCH(Base!$B216,'Debêntures ANBIMA'!$A:$A,0))</f>
        <v>375.80724257500003</v>
      </c>
      <c r="T216" s="24">
        <f>INDEX('Debêntures ANBIMA'!$P:$P,MATCH(Base!$B216,'Debêntures ANBIMA'!$A:$A,0))</f>
        <v>0.80877441343777279</v>
      </c>
    </row>
    <row r="217" spans="1:20" x14ac:dyDescent="0.35">
      <c r="A217">
        <f>YEAR(B217)</f>
        <v>2020</v>
      </c>
      <c r="B217" s="12">
        <f>DATE(YEAR(G217),MONTH(G217),DAY(1))</f>
        <v>43983</v>
      </c>
      <c r="C217">
        <f>IF(E217&lt;&gt;E216,C216+1,C216)</f>
        <v>26</v>
      </c>
      <c r="D217" s="6" t="s">
        <v>319</v>
      </c>
      <c r="E217" s="6" t="s">
        <v>114</v>
      </c>
      <c r="F217" s="6" t="s">
        <v>346</v>
      </c>
      <c r="G217" s="1">
        <v>43990</v>
      </c>
      <c r="H217" s="1">
        <v>46546</v>
      </c>
      <c r="I217" s="7">
        <f>IF(H217-G217&gt;(365*5),1,0)</f>
        <v>1</v>
      </c>
      <c r="J217" s="22">
        <v>1</v>
      </c>
      <c r="K217" s="9" t="str">
        <f>IF($N217="USD",INDEX('Dólar Spot'!$C:$C,MATCH(Base!$G217,'Dólar Spot'!$A:$A,0)),"")</f>
        <v/>
      </c>
      <c r="L217" s="8">
        <v>295305000</v>
      </c>
      <c r="M217" s="7">
        <f>IF(N217="USD",L217*K217/1000000,L217/1000000)</f>
        <v>295.30500000000001</v>
      </c>
      <c r="N217" s="6" t="s">
        <v>348</v>
      </c>
      <c r="O217" s="9" t="str" cm="1">
        <f t="array" ref="O217">INDEX(Ratings!$B$2:$L$42,_xlfn.XMATCH(Base!E217,Ratings!$A$2:$A$42),_xlfn.XMATCH(YEAR(Base!G217),Ratings!$B$1:$L$1))</f>
        <v>C</v>
      </c>
      <c r="P217">
        <f>IF(AND(O217&lt;&gt;"BBB-",O217&lt;&gt;"BBB",O217&lt;&gt;"BBB+"),0,1)</f>
        <v>0</v>
      </c>
      <c r="Q217" s="7">
        <f>INDEX('Bonds ANBIMA'!$F:$F,MATCH(Base!$B217,'Bonds ANBIMA'!$A:$A,0))</f>
        <v>16886.984523809526</v>
      </c>
      <c r="R217" s="21">
        <f>INDEX('Bonds ANBIMA'!$H:$H,MATCH(Base!$B217,'Bonds ANBIMA'!$A:$A,0))</f>
        <v>0.70588235294117641</v>
      </c>
      <c r="S217" s="7">
        <f>INDEX('Debêntures ANBIMA'!$O:$O,MATCH(Base!$B217,'Debêntures ANBIMA'!$A:$A,0))</f>
        <v>375.80724257500003</v>
      </c>
      <c r="T217" s="24">
        <f>INDEX('Debêntures ANBIMA'!$P:$P,MATCH(Base!$B217,'Debêntures ANBIMA'!$A:$A,0))</f>
        <v>0.80877441343777279</v>
      </c>
    </row>
    <row r="218" spans="1:20" x14ac:dyDescent="0.35">
      <c r="A218">
        <f>YEAR(B218)</f>
        <v>2020</v>
      </c>
      <c r="B218" s="12">
        <f>DATE(YEAR(G218),MONTH(G218),DAY(1))</f>
        <v>43983</v>
      </c>
      <c r="C218">
        <f>IF(E218&lt;&gt;E217,C217+1,C217)</f>
        <v>26</v>
      </c>
      <c r="D218" s="6" t="s">
        <v>319</v>
      </c>
      <c r="E218" s="6" t="s">
        <v>114</v>
      </c>
      <c r="F218" s="6" t="s">
        <v>346</v>
      </c>
      <c r="G218" s="1">
        <v>43990</v>
      </c>
      <c r="H218" s="1">
        <v>46546</v>
      </c>
      <c r="I218" s="7">
        <f>IF(H218-G218&gt;(365*5),1,0)</f>
        <v>1</v>
      </c>
      <c r="J218" s="22">
        <v>1</v>
      </c>
      <c r="K218" s="9" t="str">
        <f>IF($N218="USD",INDEX('Dólar Spot'!$C:$C,MATCH(Base!$G218,'Dólar Spot'!$A:$A,0)),"")</f>
        <v/>
      </c>
      <c r="L218" s="8">
        <v>295305000</v>
      </c>
      <c r="M218" s="7">
        <f>IF(N218="USD",L218*K218/1000000,L218/1000000)</f>
        <v>295.30500000000001</v>
      </c>
      <c r="N218" s="6" t="s">
        <v>348</v>
      </c>
      <c r="O218" s="9" t="str" cm="1">
        <f t="array" ref="O218">INDEX(Ratings!$B$2:$L$42,_xlfn.XMATCH(Base!E218,Ratings!$A$2:$A$42),_xlfn.XMATCH(YEAR(Base!G218),Ratings!$B$1:$L$1))</f>
        <v>C</v>
      </c>
      <c r="P218">
        <f>IF(AND(O218&lt;&gt;"BBB-",O218&lt;&gt;"BBB",O218&lt;&gt;"BBB+"),0,1)</f>
        <v>0</v>
      </c>
      <c r="Q218" s="7">
        <f>INDEX('Bonds ANBIMA'!$F:$F,MATCH(Base!$B218,'Bonds ANBIMA'!$A:$A,0))</f>
        <v>16886.984523809526</v>
      </c>
      <c r="R218" s="21">
        <f>INDEX('Bonds ANBIMA'!$H:$H,MATCH(Base!$B218,'Bonds ANBIMA'!$A:$A,0))</f>
        <v>0.70588235294117641</v>
      </c>
      <c r="S218" s="7">
        <f>INDEX('Debêntures ANBIMA'!$O:$O,MATCH(Base!$B218,'Debêntures ANBIMA'!$A:$A,0))</f>
        <v>375.80724257500003</v>
      </c>
      <c r="T218" s="24">
        <f>INDEX('Debêntures ANBIMA'!$P:$P,MATCH(Base!$B218,'Debêntures ANBIMA'!$A:$A,0))</f>
        <v>0.80877441343777279</v>
      </c>
    </row>
    <row r="219" spans="1:20" x14ac:dyDescent="0.35">
      <c r="A219">
        <f>YEAR(B219)</f>
        <v>2020</v>
      </c>
      <c r="B219" s="12">
        <f>DATE(YEAR(G219),MONTH(G219),DAY(1))</f>
        <v>43983</v>
      </c>
      <c r="C219">
        <f>IF(E219&lt;&gt;E218,C218+1,C218)</f>
        <v>26</v>
      </c>
      <c r="D219" s="6" t="s">
        <v>319</v>
      </c>
      <c r="E219" s="6" t="s">
        <v>114</v>
      </c>
      <c r="F219" s="6" t="s">
        <v>346</v>
      </c>
      <c r="G219" s="1">
        <v>43990</v>
      </c>
      <c r="H219" s="1">
        <v>46546</v>
      </c>
      <c r="I219" s="7">
        <f>IF(H219-G219&gt;(365*5),1,0)</f>
        <v>1</v>
      </c>
      <c r="J219" s="22">
        <v>1</v>
      </c>
      <c r="K219" s="9" t="str">
        <f>IF($N219="USD",INDEX('Dólar Spot'!$C:$C,MATCH(Base!$G219,'Dólar Spot'!$A:$A,0)),"")</f>
        <v/>
      </c>
      <c r="L219" s="8">
        <v>389266000</v>
      </c>
      <c r="M219" s="7">
        <f>IF(N219="USD",L219*K219/1000000,L219/1000000)</f>
        <v>389.26600000000002</v>
      </c>
      <c r="N219" s="6" t="s">
        <v>348</v>
      </c>
      <c r="O219" s="9" t="str" cm="1">
        <f t="array" ref="O219">INDEX(Ratings!$B$2:$L$42,_xlfn.XMATCH(Base!E219,Ratings!$A$2:$A$42),_xlfn.XMATCH(YEAR(Base!G219),Ratings!$B$1:$L$1))</f>
        <v>C</v>
      </c>
      <c r="P219">
        <f>IF(AND(O219&lt;&gt;"BBB-",O219&lt;&gt;"BBB",O219&lt;&gt;"BBB+"),0,1)</f>
        <v>0</v>
      </c>
      <c r="Q219" s="7">
        <f>INDEX('Bonds ANBIMA'!$F:$F,MATCH(Base!$B219,'Bonds ANBIMA'!$A:$A,0))</f>
        <v>16886.984523809526</v>
      </c>
      <c r="R219" s="21">
        <f>INDEX('Bonds ANBIMA'!$H:$H,MATCH(Base!$B219,'Bonds ANBIMA'!$A:$A,0))</f>
        <v>0.70588235294117641</v>
      </c>
      <c r="S219" s="7">
        <f>INDEX('Debêntures ANBIMA'!$O:$O,MATCH(Base!$B219,'Debêntures ANBIMA'!$A:$A,0))</f>
        <v>375.80724257500003</v>
      </c>
      <c r="T219" s="24">
        <f>INDEX('Debêntures ANBIMA'!$P:$P,MATCH(Base!$B219,'Debêntures ANBIMA'!$A:$A,0))</f>
        <v>0.80877441343777279</v>
      </c>
    </row>
    <row r="220" spans="1:20" x14ac:dyDescent="0.35">
      <c r="A220">
        <f>YEAR(B220)</f>
        <v>2020</v>
      </c>
      <c r="B220" s="12">
        <f>DATE(YEAR(G220),MONTH(G220),DAY(1))</f>
        <v>43983</v>
      </c>
      <c r="C220">
        <f>IF(E220&lt;&gt;E219,C219+1,C219)</f>
        <v>26</v>
      </c>
      <c r="D220" s="6" t="s">
        <v>319</v>
      </c>
      <c r="E220" s="6" t="s">
        <v>114</v>
      </c>
      <c r="F220" s="6" t="s">
        <v>346</v>
      </c>
      <c r="G220" s="1">
        <v>43990</v>
      </c>
      <c r="H220" s="1">
        <v>46546</v>
      </c>
      <c r="I220" s="7">
        <f>IF(H220-G220&gt;(365*5),1,0)</f>
        <v>1</v>
      </c>
      <c r="J220" s="22">
        <v>1</v>
      </c>
      <c r="K220" s="9" t="str">
        <f>IF($N220="USD",INDEX('Dólar Spot'!$C:$C,MATCH(Base!$G220,'Dólar Spot'!$A:$A,0)),"")</f>
        <v/>
      </c>
      <c r="L220" s="8">
        <v>389266000</v>
      </c>
      <c r="M220" s="7">
        <f>IF(N220="USD",L220*K220/1000000,L220/1000000)</f>
        <v>389.26600000000002</v>
      </c>
      <c r="N220" s="6" t="s">
        <v>348</v>
      </c>
      <c r="O220" s="9" t="str" cm="1">
        <f t="array" ref="O220">INDEX(Ratings!$B$2:$L$42,_xlfn.XMATCH(Base!E220,Ratings!$A$2:$A$42),_xlfn.XMATCH(YEAR(Base!G220),Ratings!$B$1:$L$1))</f>
        <v>C</v>
      </c>
      <c r="P220">
        <f>IF(AND(O220&lt;&gt;"BBB-",O220&lt;&gt;"BBB",O220&lt;&gt;"BBB+"),0,1)</f>
        <v>0</v>
      </c>
      <c r="Q220" s="7">
        <f>INDEX('Bonds ANBIMA'!$F:$F,MATCH(Base!$B220,'Bonds ANBIMA'!$A:$A,0))</f>
        <v>16886.984523809526</v>
      </c>
      <c r="R220" s="21">
        <f>INDEX('Bonds ANBIMA'!$H:$H,MATCH(Base!$B220,'Bonds ANBIMA'!$A:$A,0))</f>
        <v>0.70588235294117641</v>
      </c>
      <c r="S220" s="7">
        <f>INDEX('Debêntures ANBIMA'!$O:$O,MATCH(Base!$B220,'Debêntures ANBIMA'!$A:$A,0))</f>
        <v>375.80724257500003</v>
      </c>
      <c r="T220" s="24">
        <f>INDEX('Debêntures ANBIMA'!$P:$P,MATCH(Base!$B220,'Debêntures ANBIMA'!$A:$A,0))</f>
        <v>0.80877441343777279</v>
      </c>
    </row>
    <row r="221" spans="1:20" x14ac:dyDescent="0.35">
      <c r="A221">
        <f>YEAR(B221)</f>
        <v>2020</v>
      </c>
      <c r="B221" s="12">
        <f>DATE(YEAR(G221),MONTH(G221),DAY(1))</f>
        <v>43983</v>
      </c>
      <c r="C221">
        <f>IF(E221&lt;&gt;E220,C220+1,C220)</f>
        <v>26</v>
      </c>
      <c r="D221" s="6" t="s">
        <v>319</v>
      </c>
      <c r="E221" s="6" t="s">
        <v>114</v>
      </c>
      <c r="F221" s="6" t="s">
        <v>346</v>
      </c>
      <c r="G221" s="1">
        <v>43990</v>
      </c>
      <c r="H221" s="1">
        <v>46546</v>
      </c>
      <c r="I221" s="7">
        <f>IF(H221-G221&gt;(365*5),1,0)</f>
        <v>1</v>
      </c>
      <c r="J221" s="22">
        <v>1</v>
      </c>
      <c r="K221" s="9" t="str">
        <f>IF($N221="USD",INDEX('Dólar Spot'!$C:$C,MATCH(Base!$G221,'Dólar Spot'!$A:$A,0)),"")</f>
        <v/>
      </c>
      <c r="L221" s="8">
        <v>389266000</v>
      </c>
      <c r="M221" s="7">
        <f>IF(N221="USD",L221*K221/1000000,L221/1000000)</f>
        <v>389.26600000000002</v>
      </c>
      <c r="N221" s="6" t="s">
        <v>348</v>
      </c>
      <c r="O221" s="9" t="str" cm="1">
        <f t="array" ref="O221">INDEX(Ratings!$B$2:$L$42,_xlfn.XMATCH(Base!E221,Ratings!$A$2:$A$42),_xlfn.XMATCH(YEAR(Base!G221),Ratings!$B$1:$L$1))</f>
        <v>C</v>
      </c>
      <c r="P221">
        <f>IF(AND(O221&lt;&gt;"BBB-",O221&lt;&gt;"BBB",O221&lt;&gt;"BBB+"),0,1)</f>
        <v>0</v>
      </c>
      <c r="Q221" s="7">
        <f>INDEX('Bonds ANBIMA'!$F:$F,MATCH(Base!$B221,'Bonds ANBIMA'!$A:$A,0))</f>
        <v>16886.984523809526</v>
      </c>
      <c r="R221" s="21">
        <f>INDEX('Bonds ANBIMA'!$H:$H,MATCH(Base!$B221,'Bonds ANBIMA'!$A:$A,0))</f>
        <v>0.70588235294117641</v>
      </c>
      <c r="S221" s="7">
        <f>INDEX('Debêntures ANBIMA'!$O:$O,MATCH(Base!$B221,'Debêntures ANBIMA'!$A:$A,0))</f>
        <v>375.80724257500003</v>
      </c>
      <c r="T221" s="24">
        <f>INDEX('Debêntures ANBIMA'!$P:$P,MATCH(Base!$B221,'Debêntures ANBIMA'!$A:$A,0))</f>
        <v>0.80877441343777279</v>
      </c>
    </row>
    <row r="222" spans="1:20" x14ac:dyDescent="0.35">
      <c r="A222">
        <f>YEAR(B222)</f>
        <v>2021</v>
      </c>
      <c r="B222" s="12">
        <f>DATE(YEAR(G222),MONTH(G222),DAY(1))</f>
        <v>44317</v>
      </c>
      <c r="C222">
        <f>IF(E222&lt;&gt;E221,C221+1,C221)</f>
        <v>27</v>
      </c>
      <c r="D222" s="6" t="s">
        <v>118</v>
      </c>
      <c r="E222" s="6" t="s">
        <v>117</v>
      </c>
      <c r="F222" s="6" t="s">
        <v>233</v>
      </c>
      <c r="G222" s="1">
        <v>44323</v>
      </c>
      <c r="H222" s="1" t="s">
        <v>119</v>
      </c>
      <c r="I222" s="7">
        <f>IF(H222-G222&gt;(365*5),1,0)</f>
        <v>1</v>
      </c>
      <c r="J222" s="22">
        <v>0</v>
      </c>
      <c r="K222" s="9">
        <f>IF($N222="USD",INDEX('Dólar Spot'!$C:$C,MATCH(Base!$G222,'Dólar Spot'!$A:$A,0)),"")</f>
        <v>5.2210999999999999</v>
      </c>
      <c r="L222" s="8">
        <v>400000000</v>
      </c>
      <c r="M222" s="7">
        <f>IF(N222="USD",L222*K222/1000000,L222/1000000)</f>
        <v>2088.44</v>
      </c>
      <c r="N222" s="6" t="s">
        <v>16</v>
      </c>
      <c r="O222" s="9" t="str" cm="1">
        <f t="array" ref="O222">INDEX(Ratings!$B$2:$L$42,_xlfn.XMATCH(Base!E222,Ratings!$A$2:$A$42),_xlfn.XMATCH(YEAR(Base!G222),Ratings!$B$1:$L$1))</f>
        <v>BB-</v>
      </c>
      <c r="P222">
        <f>IF(AND(O222&lt;&gt;"BBB-",O222&lt;&gt;"BBB",O222&lt;&gt;"BBB+"),0,1)</f>
        <v>0</v>
      </c>
      <c r="Q222" s="7">
        <f>INDEX('Bonds ANBIMA'!$F:$F,MATCH(Base!$B222,'Bonds ANBIMA'!$A:$A,0))</f>
        <v>3703.5200000000004</v>
      </c>
      <c r="R222" s="21">
        <f>INDEX('Bonds ANBIMA'!$H:$H,MATCH(Base!$B222,'Bonds ANBIMA'!$A:$A,0))</f>
        <v>0.85714285714285721</v>
      </c>
      <c r="S222" s="7">
        <f>INDEX('Debêntures ANBIMA'!$O:$O,MATCH(Base!$B222,'Debêntures ANBIMA'!$A:$A,0))</f>
        <v>328.13531108771929</v>
      </c>
      <c r="T222" s="24">
        <f>INDEX('Debêntures ANBIMA'!$P:$P,MATCH(Base!$B222,'Debêntures ANBIMA'!$A:$A,0))</f>
        <v>0.63540417434387042</v>
      </c>
    </row>
    <row r="223" spans="1:20" x14ac:dyDescent="0.35">
      <c r="A223">
        <f>YEAR(B223)</f>
        <v>2019</v>
      </c>
      <c r="B223" s="12">
        <f>DATE(YEAR(G223),MONTH(G223),DAY(1))</f>
        <v>43709</v>
      </c>
      <c r="C223">
        <f>IF(E223&lt;&gt;E222,C222+1,C222)</f>
        <v>27</v>
      </c>
      <c r="D223" s="6" t="s">
        <v>320</v>
      </c>
      <c r="E223" s="6" t="s">
        <v>117</v>
      </c>
      <c r="F223" s="6" t="s">
        <v>346</v>
      </c>
      <c r="G223" s="1">
        <v>43724</v>
      </c>
      <c r="H223" s="1">
        <v>45551</v>
      </c>
      <c r="I223" s="7">
        <f>IF(H223-G223&gt;(365*5),1,0)</f>
        <v>1</v>
      </c>
      <c r="J223" s="6">
        <v>0</v>
      </c>
      <c r="K223" s="9" t="str">
        <f>IF($N223="USD",INDEX('Dólar Spot'!$C:$C,MATCH(Base!$G223,'Dólar Spot'!$A:$A,0)),"")</f>
        <v/>
      </c>
      <c r="L223" s="8">
        <v>350000000</v>
      </c>
      <c r="M223" s="7">
        <f>IF(N223="USD",L223*K223/1000000,L223/1000000)</f>
        <v>350</v>
      </c>
      <c r="N223" s="6" t="s">
        <v>348</v>
      </c>
      <c r="O223" s="9" t="str" cm="1">
        <f t="array" ref="O223">INDEX(Ratings!$B$2:$L$42,_xlfn.XMATCH(Base!E223,Ratings!$A$2:$A$42),_xlfn.XMATCH(YEAR(Base!G223),Ratings!$B$1:$L$1))</f>
        <v>NR</v>
      </c>
      <c r="P223">
        <f>IF(AND(O223&lt;&gt;"BBB-",O223&lt;&gt;"BBB",O223&lt;&gt;"BBB+"),0,1)</f>
        <v>0</v>
      </c>
      <c r="Q223" s="7">
        <f>INDEX('Bonds ANBIMA'!$F:$F,MATCH(Base!$B223,'Bonds ANBIMA'!$A:$A,0))</f>
        <v>3296.7200000000007</v>
      </c>
      <c r="R223" s="21">
        <f>INDEX('Bonds ANBIMA'!$H:$H,MATCH(Base!$B223,'Bonds ANBIMA'!$A:$A,0))</f>
        <v>0.79166666666666663</v>
      </c>
      <c r="S223" s="7">
        <f>INDEX('Debêntures ANBIMA'!$O:$O,MATCH(Base!$B223,'Debêntures ANBIMA'!$A:$A,0))</f>
        <v>315.42522222222226</v>
      </c>
      <c r="T223" s="24">
        <f>INDEX('Debêntures ANBIMA'!$P:$P,MATCH(Base!$B223,'Debêntures ANBIMA'!$A:$A,0))</f>
        <v>0.63969390756637756</v>
      </c>
    </row>
    <row r="224" spans="1:20" x14ac:dyDescent="0.35">
      <c r="A224">
        <f>YEAR(B224)</f>
        <v>2013</v>
      </c>
      <c r="B224" s="12">
        <f>DATE(YEAR(G224),MONTH(G224),DAY(1))</f>
        <v>41334</v>
      </c>
      <c r="C224">
        <f>IF(E224&lt;&gt;E223,C223+1,C223)</f>
        <v>27</v>
      </c>
      <c r="D224" s="6" t="s">
        <v>320</v>
      </c>
      <c r="E224" s="6" t="s">
        <v>117</v>
      </c>
      <c r="F224" s="6" t="s">
        <v>346</v>
      </c>
      <c r="G224" s="1">
        <v>41348</v>
      </c>
      <c r="H224" s="1">
        <v>44635</v>
      </c>
      <c r="I224" s="7">
        <f>IF(H224-G224&gt;(365*5),1,0)</f>
        <v>1</v>
      </c>
      <c r="J224" s="6">
        <v>0</v>
      </c>
      <c r="K224" s="9" t="str">
        <f>IF($N224="USD",INDEX('Dólar Spot'!$C:$C,MATCH(Base!$G224,'Dólar Spot'!$A:$A,0)),"")</f>
        <v/>
      </c>
      <c r="L224" s="8">
        <v>1240000000</v>
      </c>
      <c r="M224" s="7">
        <f>IF(N224="USD",L224*K224/1000000,L224/1000000)</f>
        <v>1240</v>
      </c>
      <c r="N224" s="6" t="s">
        <v>348</v>
      </c>
      <c r="O224" s="9" t="str" cm="1">
        <f t="array" ref="O224">INDEX(Ratings!$B$2:$L$42,_xlfn.XMATCH(Base!E224,Ratings!$A$2:$A$42),_xlfn.XMATCH(YEAR(Base!G224),Ratings!$B$1:$L$1))</f>
        <v>NR</v>
      </c>
      <c r="P224">
        <f>IF(AND(O224&lt;&gt;"BBB-",O224&lt;&gt;"BBB",O224&lt;&gt;"BBB+"),0,1)</f>
        <v>0</v>
      </c>
      <c r="Q224" s="7">
        <f>INDEX('Bonds ANBIMA'!$F:$F,MATCH(Base!$B224,'Bonds ANBIMA'!$A:$A,0))</f>
        <v>2100.545443333333</v>
      </c>
      <c r="R224" s="21">
        <f>INDEX('Bonds ANBIMA'!$H:$H,MATCH(Base!$B224,'Bonds ANBIMA'!$A:$A,0))</f>
        <v>0.61224489795918369</v>
      </c>
      <c r="S224" s="7">
        <f>INDEX('Debêntures ANBIMA'!$O:$O,MATCH(Base!$B224,'Debêntures ANBIMA'!$A:$A,0))</f>
        <v>347.1515</v>
      </c>
      <c r="T224" s="24">
        <f>INDEX('Debêntures ANBIMA'!$P:$P,MATCH(Base!$B224,'Debêntures ANBIMA'!$A:$A,0))</f>
        <v>0.89276058422825388</v>
      </c>
    </row>
    <row r="225" spans="1:20" x14ac:dyDescent="0.35">
      <c r="A225">
        <f>YEAR(B225)</f>
        <v>2014</v>
      </c>
      <c r="B225" s="12">
        <f>DATE(YEAR(G225),MONTH(G225),DAY(1))</f>
        <v>41730</v>
      </c>
      <c r="C225">
        <f>IF(E225&lt;&gt;E224,C224+1,C224)</f>
        <v>27</v>
      </c>
      <c r="D225" s="6" t="s">
        <v>320</v>
      </c>
      <c r="E225" s="6" t="s">
        <v>117</v>
      </c>
      <c r="F225" s="6" t="s">
        <v>346</v>
      </c>
      <c r="G225" s="1">
        <v>41730</v>
      </c>
      <c r="H225" s="1">
        <v>43556</v>
      </c>
      <c r="I225" s="7">
        <f>IF(H225-G225&gt;(365*5),1,0)</f>
        <v>1</v>
      </c>
      <c r="J225" s="6">
        <v>0</v>
      </c>
      <c r="K225" s="9" t="str">
        <f>IF($N225="USD",INDEX('Dólar Spot'!$C:$C,MATCH(Base!$G225,'Dólar Spot'!$A:$A,0)),"")</f>
        <v/>
      </c>
      <c r="L225" s="8">
        <v>397732000</v>
      </c>
      <c r="M225" s="7">
        <f>IF(N225="USD",L225*K225/1000000,L225/1000000)</f>
        <v>397.73200000000003</v>
      </c>
      <c r="N225" s="6" t="s">
        <v>348</v>
      </c>
      <c r="O225" s="9" t="str" cm="1">
        <f t="array" ref="O225">INDEX(Ratings!$B$2:$L$42,_xlfn.XMATCH(Base!E225,Ratings!$A$2:$A$42),_xlfn.XMATCH(YEAR(Base!G225),Ratings!$B$1:$L$1))</f>
        <v>NR</v>
      </c>
      <c r="P225">
        <f>IF(AND(O225&lt;&gt;"BBB-",O225&lt;&gt;"BBB",O225&lt;&gt;"BBB+"),0,1)</f>
        <v>0</v>
      </c>
      <c r="Q225" s="7">
        <f>INDEX('Bonds ANBIMA'!$F:$F,MATCH(Base!$B225,'Bonds ANBIMA'!$A:$A,0))</f>
        <v>1949.5917653225804</v>
      </c>
      <c r="R225" s="21">
        <f>INDEX('Bonds ANBIMA'!$H:$H,MATCH(Base!$B225,'Bonds ANBIMA'!$A:$A,0))</f>
        <v>0.7592592592592593</v>
      </c>
      <c r="S225" s="7">
        <f>INDEX('Debêntures ANBIMA'!$O:$O,MATCH(Base!$B225,'Debêntures ANBIMA'!$A:$A,0))</f>
        <v>893.49106666666671</v>
      </c>
      <c r="T225" s="24">
        <f>INDEX('Debêntures ANBIMA'!$P:$P,MATCH(Base!$B225,'Debêntures ANBIMA'!$A:$A,0))</f>
        <v>0.93718775365154505</v>
      </c>
    </row>
    <row r="226" spans="1:20" x14ac:dyDescent="0.35">
      <c r="A226">
        <f>YEAR(B226)</f>
        <v>2018</v>
      </c>
      <c r="B226" s="12">
        <f>DATE(YEAR(G226),MONTH(G226),DAY(1))</f>
        <v>43160</v>
      </c>
      <c r="C226">
        <f>IF(E226&lt;&gt;E225,C225+1,C225)</f>
        <v>27</v>
      </c>
      <c r="D226" s="6" t="s">
        <v>320</v>
      </c>
      <c r="E226" s="6" t="s">
        <v>117</v>
      </c>
      <c r="F226" s="6" t="s">
        <v>346</v>
      </c>
      <c r="G226" s="1">
        <v>43185</v>
      </c>
      <c r="H226" s="1">
        <v>45011</v>
      </c>
      <c r="I226" s="7">
        <f>IF(H226-G226&gt;(365*5),1,0)</f>
        <v>1</v>
      </c>
      <c r="J226" s="6">
        <v>0</v>
      </c>
      <c r="K226" s="9" t="str">
        <f>IF($N226="USD",INDEX('Dólar Spot'!$C:$C,MATCH(Base!$G226,'Dólar Spot'!$A:$A,0)),"")</f>
        <v/>
      </c>
      <c r="L226" s="8">
        <v>450000000</v>
      </c>
      <c r="M226" s="7">
        <f>IF(N226="USD",L226*K226/1000000,L226/1000000)</f>
        <v>450</v>
      </c>
      <c r="N226" s="6" t="s">
        <v>348</v>
      </c>
      <c r="O226" s="9" t="str" cm="1">
        <f t="array" ref="O226">INDEX(Ratings!$B$2:$L$42,_xlfn.XMATCH(Base!E226,Ratings!$A$2:$A$42),_xlfn.XMATCH(YEAR(Base!G226),Ratings!$B$1:$L$1))</f>
        <v>NR</v>
      </c>
      <c r="P226">
        <f>IF(AND(O226&lt;&gt;"BBB-",O226&lt;&gt;"BBB",O226&lt;&gt;"BBB+"),0,1)</f>
        <v>0</v>
      </c>
      <c r="Q226" s="7">
        <f>INDEX('Bonds ANBIMA'!$F:$F,MATCH(Base!$B226,'Bonds ANBIMA'!$A:$A,0))</f>
        <v>0</v>
      </c>
      <c r="R226" s="21">
        <f>INDEX('Bonds ANBIMA'!$H:$H,MATCH(Base!$B226,'Bonds ANBIMA'!$A:$A,0))</f>
        <v>0.76923076923076916</v>
      </c>
      <c r="S226" s="7">
        <f>INDEX('Debêntures ANBIMA'!$O:$O,MATCH(Base!$B226,'Debêntures ANBIMA'!$A:$A,0))</f>
        <v>400.59090909090907</v>
      </c>
      <c r="T226" s="24">
        <f>INDEX('Debêntures ANBIMA'!$P:$P,MATCH(Base!$B226,'Debêntures ANBIMA'!$A:$A,0))</f>
        <v>0.62046364051464531</v>
      </c>
    </row>
    <row r="227" spans="1:20" x14ac:dyDescent="0.35">
      <c r="A227">
        <f>YEAR(B227)</f>
        <v>2019</v>
      </c>
      <c r="B227" s="12">
        <f>DATE(YEAR(G227),MONTH(G227),DAY(1))</f>
        <v>43497</v>
      </c>
      <c r="C227">
        <f>IF(E227&lt;&gt;E226,C226+1,C226)</f>
        <v>27</v>
      </c>
      <c r="D227" s="6" t="s">
        <v>320</v>
      </c>
      <c r="E227" s="6" t="s">
        <v>117</v>
      </c>
      <c r="F227" s="6" t="s">
        <v>346</v>
      </c>
      <c r="G227" s="1">
        <v>43507</v>
      </c>
      <c r="H227" s="1">
        <v>45333</v>
      </c>
      <c r="I227" s="7">
        <f>IF(H227-G227&gt;(365*5),1,0)</f>
        <v>1</v>
      </c>
      <c r="J227" s="6">
        <v>0</v>
      </c>
      <c r="K227" s="9" t="str">
        <f>IF($N227="USD",INDEX('Dólar Spot'!$C:$C,MATCH(Base!$G227,'Dólar Spot'!$A:$A,0)),"")</f>
        <v/>
      </c>
      <c r="L227" s="8">
        <v>338800000</v>
      </c>
      <c r="M227" s="7">
        <f>IF(N227="USD",L227*K227/1000000,L227/1000000)</f>
        <v>338.8</v>
      </c>
      <c r="N227" s="6" t="s">
        <v>348</v>
      </c>
      <c r="O227" s="9" t="str" cm="1">
        <f t="array" ref="O227">INDEX(Ratings!$B$2:$L$42,_xlfn.XMATCH(Base!E227,Ratings!$A$2:$A$42),_xlfn.XMATCH(YEAR(Base!G227),Ratings!$B$1:$L$1))</f>
        <v>NR</v>
      </c>
      <c r="P227">
        <f>IF(AND(O227&lt;&gt;"BBB-",O227&lt;&gt;"BBB",O227&lt;&gt;"BBB+"),0,1)</f>
        <v>0</v>
      </c>
      <c r="Q227" s="7">
        <f>INDEX('Bonds ANBIMA'!$F:$F,MATCH(Base!$B227,'Bonds ANBIMA'!$A:$A,0))</f>
        <v>2792.2687499999997</v>
      </c>
      <c r="R227" s="21">
        <f>INDEX('Bonds ANBIMA'!$H:$H,MATCH(Base!$B227,'Bonds ANBIMA'!$A:$A,0))</f>
        <v>1</v>
      </c>
      <c r="S227" s="7">
        <f>INDEX('Debêntures ANBIMA'!$O:$O,MATCH(Base!$B227,'Debêntures ANBIMA'!$A:$A,0))</f>
        <v>266.95299999999997</v>
      </c>
      <c r="T227" s="24">
        <f>INDEX('Debêntures ANBIMA'!$P:$P,MATCH(Base!$B227,'Debêntures ANBIMA'!$A:$A,0))</f>
        <v>0.51217228464419473</v>
      </c>
    </row>
    <row r="228" spans="1:20" x14ac:dyDescent="0.35">
      <c r="A228">
        <f>YEAR(B228)</f>
        <v>2014</v>
      </c>
      <c r="B228" s="12">
        <f>DATE(YEAR(G228),MONTH(G228),DAY(1))</f>
        <v>41730</v>
      </c>
      <c r="C228">
        <f>IF(E228&lt;&gt;E227,C227+1,C227)</f>
        <v>27</v>
      </c>
      <c r="D228" s="6" t="s">
        <v>320</v>
      </c>
      <c r="E228" s="6" t="s">
        <v>117</v>
      </c>
      <c r="F228" s="6" t="s">
        <v>346</v>
      </c>
      <c r="G228" s="1">
        <v>41730</v>
      </c>
      <c r="H228" s="1">
        <v>43556</v>
      </c>
      <c r="I228" s="7">
        <f>IF(H228-G228&gt;(365*5),1,0)</f>
        <v>1</v>
      </c>
      <c r="J228" s="6">
        <v>0</v>
      </c>
      <c r="K228" s="9" t="str">
        <f>IF($N228="USD",INDEX('Dólar Spot'!$C:$C,MATCH(Base!$G228,'Dólar Spot'!$A:$A,0)),"")</f>
        <v/>
      </c>
      <c r="L228" s="8">
        <v>250000000</v>
      </c>
      <c r="M228" s="7">
        <f>IF(N228="USD",L228*K228/1000000,L228/1000000)</f>
        <v>250</v>
      </c>
      <c r="N228" s="6" t="s">
        <v>348</v>
      </c>
      <c r="O228" s="9" t="str" cm="1">
        <f t="array" ref="O228">INDEX(Ratings!$B$2:$L$42,_xlfn.XMATCH(Base!E228,Ratings!$A$2:$A$42),_xlfn.XMATCH(YEAR(Base!G228),Ratings!$B$1:$L$1))</f>
        <v>NR</v>
      </c>
      <c r="P228">
        <f>IF(AND(O228&lt;&gt;"BBB-",O228&lt;&gt;"BBB",O228&lt;&gt;"BBB+"),0,1)</f>
        <v>0</v>
      </c>
      <c r="Q228" s="7">
        <f>INDEX('Bonds ANBIMA'!$F:$F,MATCH(Base!$B228,'Bonds ANBIMA'!$A:$A,0))</f>
        <v>1949.5917653225804</v>
      </c>
      <c r="R228" s="21">
        <f>INDEX('Bonds ANBIMA'!$H:$H,MATCH(Base!$B228,'Bonds ANBIMA'!$A:$A,0))</f>
        <v>0.7592592592592593</v>
      </c>
      <c r="S228" s="7">
        <f>INDEX('Debêntures ANBIMA'!$O:$O,MATCH(Base!$B228,'Debêntures ANBIMA'!$A:$A,0))</f>
        <v>893.49106666666671</v>
      </c>
      <c r="T228" s="24">
        <f>INDEX('Debêntures ANBIMA'!$P:$P,MATCH(Base!$B228,'Debêntures ANBIMA'!$A:$A,0))</f>
        <v>0.93718775365154505</v>
      </c>
    </row>
    <row r="229" spans="1:20" x14ac:dyDescent="0.35">
      <c r="A229">
        <f>YEAR(B229)</f>
        <v>2019</v>
      </c>
      <c r="B229" s="12">
        <f>DATE(YEAR(G229),MONTH(G229),DAY(1))</f>
        <v>43497</v>
      </c>
      <c r="C229">
        <f>IF(E229&lt;&gt;E228,C228+1,C228)</f>
        <v>27</v>
      </c>
      <c r="D229" s="6" t="s">
        <v>320</v>
      </c>
      <c r="E229" s="6" t="s">
        <v>117</v>
      </c>
      <c r="F229" s="6" t="s">
        <v>346</v>
      </c>
      <c r="G229" s="1">
        <v>43507</v>
      </c>
      <c r="H229" s="1">
        <v>46064</v>
      </c>
      <c r="I229" s="7">
        <f>IF(H229-G229&gt;(365*5),1,0)</f>
        <v>1</v>
      </c>
      <c r="J229" s="6">
        <v>0</v>
      </c>
      <c r="K229" s="9" t="str">
        <f>IF($N229="USD",INDEX('Dólar Spot'!$C:$C,MATCH(Base!$G229,'Dólar Spot'!$A:$A,0)),"")</f>
        <v/>
      </c>
      <c r="L229" s="8">
        <v>111200000</v>
      </c>
      <c r="M229" s="7">
        <f>IF(N229="USD",L229*K229/1000000,L229/1000000)</f>
        <v>111.2</v>
      </c>
      <c r="N229" s="6" t="s">
        <v>348</v>
      </c>
      <c r="O229" s="9" t="str" cm="1">
        <f t="array" ref="O229">INDEX(Ratings!$B$2:$L$42,_xlfn.XMATCH(Base!E229,Ratings!$A$2:$A$42),_xlfn.XMATCH(YEAR(Base!G229),Ratings!$B$1:$L$1))</f>
        <v>NR</v>
      </c>
      <c r="P229">
        <f>IF(AND(O229&lt;&gt;"BBB-",O229&lt;&gt;"BBB",O229&lt;&gt;"BBB+"),0,1)</f>
        <v>0</v>
      </c>
      <c r="Q229" s="7">
        <f>INDEX('Bonds ANBIMA'!$F:$F,MATCH(Base!$B229,'Bonds ANBIMA'!$A:$A,0))</f>
        <v>2792.2687499999997</v>
      </c>
      <c r="R229" s="21">
        <f>INDEX('Bonds ANBIMA'!$H:$H,MATCH(Base!$B229,'Bonds ANBIMA'!$A:$A,0))</f>
        <v>1</v>
      </c>
      <c r="S229" s="7">
        <f>INDEX('Debêntures ANBIMA'!$O:$O,MATCH(Base!$B229,'Debêntures ANBIMA'!$A:$A,0))</f>
        <v>266.95299999999997</v>
      </c>
      <c r="T229" s="24">
        <f>INDEX('Debêntures ANBIMA'!$P:$P,MATCH(Base!$B229,'Debêntures ANBIMA'!$A:$A,0))</f>
        <v>0.51217228464419473</v>
      </c>
    </row>
    <row r="230" spans="1:20" x14ac:dyDescent="0.35">
      <c r="A230">
        <f>YEAR(B230)</f>
        <v>2021</v>
      </c>
      <c r="B230" s="12">
        <f>DATE(YEAR(G230),MONTH(G230),DAY(1))</f>
        <v>44470</v>
      </c>
      <c r="C230">
        <f>IF(E230&lt;&gt;E229,C229+1,C229)</f>
        <v>28</v>
      </c>
      <c r="D230" s="6" t="s">
        <v>339</v>
      </c>
      <c r="E230" s="6" t="s">
        <v>199</v>
      </c>
      <c r="F230" s="6" t="s">
        <v>346</v>
      </c>
      <c r="G230" s="1">
        <v>44489</v>
      </c>
      <c r="H230" s="1">
        <v>47046</v>
      </c>
      <c r="I230" s="7">
        <f>IF(H230-G230&gt;(365*5),1,0)</f>
        <v>1</v>
      </c>
      <c r="J230" s="22">
        <v>1</v>
      </c>
      <c r="K230" s="9" t="str">
        <f>IF($N230="USD",INDEX('Dólar Spot'!$C:$C,MATCH(Base!$G444,'Dólar Spot'!$A:$A,0)),"")</f>
        <v/>
      </c>
      <c r="L230" s="8">
        <v>700000000</v>
      </c>
      <c r="M230" s="7">
        <f>IF(N230="USD",L230*K230/1000000,L230/1000000)</f>
        <v>700</v>
      </c>
      <c r="N230" s="6" t="s">
        <v>348</v>
      </c>
      <c r="O230" s="9" t="str" cm="1">
        <f t="array" ref="O230">INDEX(Ratings!$B$2:$L$42,_xlfn.XMATCH(Base!E444,Ratings!$A$2:$A$42),_xlfn.XMATCH(YEAR(Base!G444),Ratings!$B$1:$L$1))</f>
        <v>BB+</v>
      </c>
      <c r="P230">
        <f>IF(AND(O230&lt;&gt;"BBB-",O230&lt;&gt;"BBB",O230&lt;&gt;"BBB+"),0,1)</f>
        <v>0</v>
      </c>
      <c r="Q230" s="7">
        <f>INDEX('Bonds ANBIMA'!$F:$F,MATCH(Base!$B444,'Bonds ANBIMA'!$A:$A,0))</f>
        <v>2820.1840108695651</v>
      </c>
      <c r="R230" s="21">
        <f>INDEX('Bonds ANBIMA'!$H:$H,MATCH(Base!$B444,'Bonds ANBIMA'!$A:$A,0))</f>
        <v>0.70833333333333326</v>
      </c>
      <c r="S230" s="7">
        <f>INDEX('Debêntures ANBIMA'!$O:$O,MATCH(Base!$B444,'Debêntures ANBIMA'!$A:$A,0))</f>
        <v>302.30131578947368</v>
      </c>
      <c r="T230" s="24">
        <f>INDEX('Debêntures ANBIMA'!$P:$P,MATCH(Base!$B444,'Debêntures ANBIMA'!$A:$A,0))</f>
        <v>0.46990765793883493</v>
      </c>
    </row>
    <row r="231" spans="1:20" x14ac:dyDescent="0.35">
      <c r="A231">
        <f>YEAR(B231)</f>
        <v>2011</v>
      </c>
      <c r="B231" s="12">
        <f>DATE(YEAR(G231),MONTH(G231),DAY(1))</f>
        <v>40695</v>
      </c>
      <c r="C231">
        <f>IF(E231&lt;&gt;E230,C230+1,C230)</f>
        <v>28</v>
      </c>
      <c r="D231" s="6" t="s">
        <v>339</v>
      </c>
      <c r="E231" s="6" t="s">
        <v>199</v>
      </c>
      <c r="F231" s="6" t="s">
        <v>346</v>
      </c>
      <c r="G231" s="1">
        <v>40718</v>
      </c>
      <c r="H231" s="1">
        <v>42910</v>
      </c>
      <c r="I231" s="7">
        <f>IF(H231-G231&gt;(365*5),1,0)</f>
        <v>1</v>
      </c>
      <c r="J231" s="22">
        <v>1</v>
      </c>
      <c r="K231" s="9" t="str">
        <f>IF($N231="USD",INDEX('Dólar Spot'!$C:$C,MATCH(Base!$G445,'Dólar Spot'!$A:$A,0)),"")</f>
        <v/>
      </c>
      <c r="L231" s="8">
        <v>113000000</v>
      </c>
      <c r="M231" s="7">
        <f>IF(N231="USD",L231*K231/1000000,L231/1000000)</f>
        <v>113</v>
      </c>
      <c r="N231" s="6" t="s">
        <v>348</v>
      </c>
      <c r="O231" s="9" t="str" cm="1">
        <f t="array" ref="O231">INDEX(Ratings!$B$2:$L$42,_xlfn.XMATCH(Base!E445,Ratings!$A$2:$A$42),_xlfn.XMATCH(YEAR(Base!G445),Ratings!$B$1:$L$1))</f>
        <v>BB+</v>
      </c>
      <c r="P231">
        <f>IF(AND(O231&lt;&gt;"BBB-",O231&lt;&gt;"BBB",O231&lt;&gt;"BBB+"),0,1)</f>
        <v>0</v>
      </c>
      <c r="Q231" s="7">
        <f>INDEX('Bonds ANBIMA'!$F:$F,MATCH(Base!$B445,'Bonds ANBIMA'!$A:$A,0))</f>
        <v>2639.5452380952379</v>
      </c>
      <c r="R231" s="21">
        <f>INDEX('Bonds ANBIMA'!$H:$H,MATCH(Base!$B445,'Bonds ANBIMA'!$A:$A,0))</f>
        <v>0.75</v>
      </c>
      <c r="S231" s="7">
        <f>INDEX('Debêntures ANBIMA'!$O:$O,MATCH(Base!$B445,'Debêntures ANBIMA'!$A:$A,0))</f>
        <v>333.94772061764706</v>
      </c>
      <c r="T231" s="24">
        <f>INDEX('Debêntures ANBIMA'!$P:$P,MATCH(Base!$B445,'Debêntures ANBIMA'!$A:$A,0))</f>
        <v>0.70859317355091667</v>
      </c>
    </row>
    <row r="232" spans="1:20" x14ac:dyDescent="0.35">
      <c r="A232">
        <f>YEAR(B232)</f>
        <v>2012</v>
      </c>
      <c r="B232" s="12">
        <f>DATE(YEAR(G232),MONTH(G232),DAY(1))</f>
        <v>41030</v>
      </c>
      <c r="C232">
        <f>IF(E232&lt;&gt;E231,C231+1,C231)</f>
        <v>28</v>
      </c>
      <c r="D232" s="6" t="s">
        <v>339</v>
      </c>
      <c r="E232" s="6" t="s">
        <v>199</v>
      </c>
      <c r="F232" s="6" t="s">
        <v>346</v>
      </c>
      <c r="G232" s="1">
        <v>41053</v>
      </c>
      <c r="H232" s="1">
        <v>42514</v>
      </c>
      <c r="I232" s="7">
        <f>IF(H232-G232&gt;(365*5),1,0)</f>
        <v>0</v>
      </c>
      <c r="J232" s="22">
        <v>1</v>
      </c>
      <c r="K232" s="9" t="str">
        <f>IF($N232="USD",INDEX('Dólar Spot'!$C:$C,MATCH(Base!$G446,'Dólar Spot'!$A:$A,0)),"")</f>
        <v/>
      </c>
      <c r="L232" s="8">
        <v>200000000</v>
      </c>
      <c r="M232" s="7">
        <f>IF(N232="USD",L232*K232/1000000,L232/1000000)</f>
        <v>200</v>
      </c>
      <c r="N232" s="6" t="s">
        <v>348</v>
      </c>
      <c r="O232" s="9" t="str" cm="1">
        <f t="array" ref="O232">INDEX(Ratings!$B$2:$L$42,_xlfn.XMATCH(Base!E446,Ratings!$A$2:$A$42),_xlfn.XMATCH(YEAR(Base!G446),Ratings!$B$1:$L$1))</f>
        <v>BB-</v>
      </c>
      <c r="P232">
        <f>IF(AND(O232&lt;&gt;"BBB-",O232&lt;&gt;"BBB",O232&lt;&gt;"BBB+"),0,1)</f>
        <v>0</v>
      </c>
      <c r="Q232" s="7">
        <f>INDEX('Bonds ANBIMA'!$F:$F,MATCH(Base!$B446,'Bonds ANBIMA'!$A:$A,0))</f>
        <v>1632.749181818182</v>
      </c>
      <c r="R232" s="21">
        <f>INDEX('Bonds ANBIMA'!$H:$H,MATCH(Base!$B446,'Bonds ANBIMA'!$A:$A,0))</f>
        <v>0.81690140845070425</v>
      </c>
      <c r="S232" s="7">
        <f>INDEX('Debêntures ANBIMA'!$O:$O,MATCH(Base!$B446,'Debêntures ANBIMA'!$A:$A,0))</f>
        <v>566.09934693877551</v>
      </c>
      <c r="T232" s="24">
        <f>INDEX('Debêntures ANBIMA'!$P:$P,MATCH(Base!$B446,'Debêntures ANBIMA'!$A:$A,0))</f>
        <v>0.94180052548270043</v>
      </c>
    </row>
    <row r="233" spans="1:20" x14ac:dyDescent="0.35">
      <c r="A233">
        <f>YEAR(B233)</f>
        <v>2013</v>
      </c>
      <c r="B233" s="12">
        <f>DATE(YEAR(G233),MONTH(G233),DAY(1))</f>
        <v>41456</v>
      </c>
      <c r="C233">
        <f>IF(E233&lt;&gt;E232,C232+1,C232)</f>
        <v>28</v>
      </c>
      <c r="D233" s="6" t="s">
        <v>339</v>
      </c>
      <c r="E233" s="6" t="s">
        <v>199</v>
      </c>
      <c r="F233" s="6" t="s">
        <v>346</v>
      </c>
      <c r="G233" s="1">
        <v>41470</v>
      </c>
      <c r="H233" s="1">
        <v>43296</v>
      </c>
      <c r="I233" s="7">
        <f>IF(H233-G233&gt;(365*5),1,0)</f>
        <v>1</v>
      </c>
      <c r="J233" s="22">
        <v>1</v>
      </c>
      <c r="K233" s="9" t="str">
        <f>IF($N233="USD",INDEX('Dólar Spot'!$C:$C,MATCH(Base!$G447,'Dólar Spot'!$A:$A,0)),"")</f>
        <v/>
      </c>
      <c r="L233" s="8">
        <v>152429000</v>
      </c>
      <c r="M233" s="7">
        <f>IF(N233="USD",L233*K233/1000000,L233/1000000)</f>
        <v>152.429</v>
      </c>
      <c r="N233" s="6" t="s">
        <v>348</v>
      </c>
      <c r="O233" s="9" t="str" cm="1">
        <f t="array" ref="O233">INDEX(Ratings!$B$2:$L$42,_xlfn.XMATCH(Base!E447,Ratings!$A$2:$A$42),_xlfn.XMATCH(YEAR(Base!G447),Ratings!$B$1:$L$1))</f>
        <v>BB-</v>
      </c>
      <c r="P233">
        <f>IF(AND(O233&lt;&gt;"BBB-",O233&lt;&gt;"BBB",O233&lt;&gt;"BBB+"),0,1)</f>
        <v>0</v>
      </c>
      <c r="Q233" s="7">
        <f>INDEX('Bonds ANBIMA'!$F:$F,MATCH(Base!$B447,'Bonds ANBIMA'!$A:$A,0))</f>
        <v>1407.9328902834009</v>
      </c>
      <c r="R233" s="21">
        <f>INDEX('Bonds ANBIMA'!$H:$H,MATCH(Base!$B447,'Bonds ANBIMA'!$A:$A,0))</f>
        <v>0.5862068965517242</v>
      </c>
      <c r="S233" s="7">
        <f>INDEX('Debêntures ANBIMA'!$O:$O,MATCH(Base!$B447,'Debêntures ANBIMA'!$A:$A,0))</f>
        <v>305.92307692307691</v>
      </c>
      <c r="T233" s="24">
        <f>INDEX('Debêntures ANBIMA'!$P:$P,MATCH(Base!$B447,'Debêntures ANBIMA'!$A:$A,0))</f>
        <v>0.94971083731455874</v>
      </c>
    </row>
    <row r="234" spans="1:20" x14ac:dyDescent="0.35">
      <c r="A234">
        <f>YEAR(B234)</f>
        <v>2013</v>
      </c>
      <c r="B234" s="12">
        <f>DATE(YEAR(G234),MONTH(G234),DAY(1))</f>
        <v>41548</v>
      </c>
      <c r="C234">
        <f>IF(E234&lt;&gt;E233,C233+1,C233)</f>
        <v>28</v>
      </c>
      <c r="D234" s="6" t="s">
        <v>339</v>
      </c>
      <c r="E234" s="6" t="s">
        <v>199</v>
      </c>
      <c r="F234" s="6" t="s">
        <v>346</v>
      </c>
      <c r="G234" s="1">
        <v>41571</v>
      </c>
      <c r="H234" s="1">
        <v>43762</v>
      </c>
      <c r="I234" s="7">
        <f>IF(H234-G234&gt;(365*5),1,0)</f>
        <v>1</v>
      </c>
      <c r="J234" s="22">
        <v>1</v>
      </c>
      <c r="K234" s="9" t="str">
        <f>IF($N234="USD",INDEX('Dólar Spot'!$C:$C,MATCH(Base!$G448,'Dólar Spot'!$A:$A,0)),"")</f>
        <v/>
      </c>
      <c r="L234" s="8">
        <v>170000000</v>
      </c>
      <c r="M234" s="7">
        <f>IF(N234="USD",L234*K234/1000000,L234/1000000)</f>
        <v>170</v>
      </c>
      <c r="N234" s="6" t="s">
        <v>348</v>
      </c>
      <c r="O234" s="9" t="str" cm="1">
        <f t="array" ref="O234">INDEX(Ratings!$B$2:$L$42,_xlfn.XMATCH(Base!E448,Ratings!$A$2:$A$42),_xlfn.XMATCH(YEAR(Base!G448),Ratings!$B$1:$L$1))</f>
        <v>BB-</v>
      </c>
      <c r="P234">
        <f>IF(AND(O234&lt;&gt;"BBB-",O234&lt;&gt;"BBB",O234&lt;&gt;"BBB+"),0,1)</f>
        <v>0</v>
      </c>
      <c r="Q234" s="7">
        <f>INDEX('Bonds ANBIMA'!$F:$F,MATCH(Base!$B448,'Bonds ANBIMA'!$A:$A,0))</f>
        <v>1387.9463871794871</v>
      </c>
      <c r="R234" s="21">
        <f>INDEX('Bonds ANBIMA'!$H:$H,MATCH(Base!$B448,'Bonds ANBIMA'!$A:$A,0))</f>
        <v>0.5862068965517242</v>
      </c>
      <c r="S234" s="7">
        <f>INDEX('Debêntures ANBIMA'!$O:$O,MATCH(Base!$B448,'Debêntures ANBIMA'!$A:$A,0))</f>
        <v>295.56919334588235</v>
      </c>
      <c r="T234" s="24">
        <f>INDEX('Debêntures ANBIMA'!$P:$P,MATCH(Base!$B448,'Debêntures ANBIMA'!$A:$A,0))</f>
        <v>0.57509687651902874</v>
      </c>
    </row>
    <row r="235" spans="1:20" x14ac:dyDescent="0.35">
      <c r="A235">
        <f>YEAR(B235)</f>
        <v>2014</v>
      </c>
      <c r="B235" s="12">
        <f>DATE(YEAR(G235),MONTH(G235),DAY(1))</f>
        <v>41791</v>
      </c>
      <c r="C235">
        <f>IF(E235&lt;&gt;E234,C234+1,C234)</f>
        <v>28</v>
      </c>
      <c r="D235" s="6" t="s">
        <v>339</v>
      </c>
      <c r="E235" s="6" t="s">
        <v>199</v>
      </c>
      <c r="F235" s="6" t="s">
        <v>346</v>
      </c>
      <c r="G235" s="1">
        <v>41805</v>
      </c>
      <c r="H235" s="1">
        <v>43631</v>
      </c>
      <c r="I235" s="7">
        <f>IF(H235-G235&gt;(365*5),1,0)</f>
        <v>1</v>
      </c>
      <c r="J235" s="22">
        <v>1</v>
      </c>
      <c r="K235" s="9" t="str">
        <f>IF($N235="USD",INDEX('Dólar Spot'!$C:$C,MATCH(Base!$G449,'Dólar Spot'!$A:$A,0)),"")</f>
        <v/>
      </c>
      <c r="L235" s="8">
        <v>165175000</v>
      </c>
      <c r="M235" s="7">
        <f>IF(N235="USD",L235*K235/1000000,L235/1000000)</f>
        <v>165.17500000000001</v>
      </c>
      <c r="N235" s="6" t="s">
        <v>348</v>
      </c>
      <c r="O235" s="9" t="str" cm="1">
        <f t="array" ref="O235">INDEX(Ratings!$B$2:$L$42,_xlfn.XMATCH(Base!E449,Ratings!$A$2:$A$42),_xlfn.XMATCH(YEAR(Base!G449),Ratings!$B$1:$L$1))</f>
        <v>BB-</v>
      </c>
      <c r="P235">
        <f>IF(AND(O235&lt;&gt;"BBB-",O235&lt;&gt;"BBB",O235&lt;&gt;"BBB+"),0,1)</f>
        <v>0</v>
      </c>
      <c r="Q235" s="7">
        <f>INDEX('Bonds ANBIMA'!$F:$F,MATCH(Base!$B449,'Bonds ANBIMA'!$A:$A,0))</f>
        <v>1407.9328902834009</v>
      </c>
      <c r="R235" s="21">
        <f>INDEX('Bonds ANBIMA'!$H:$H,MATCH(Base!$B449,'Bonds ANBIMA'!$A:$A,0))</f>
        <v>0.5862068965517242</v>
      </c>
      <c r="S235" s="7">
        <f>INDEX('Debêntures ANBIMA'!$O:$O,MATCH(Base!$B449,'Debêntures ANBIMA'!$A:$A,0))</f>
        <v>305.92307692307691</v>
      </c>
      <c r="T235" s="24">
        <f>INDEX('Debêntures ANBIMA'!$P:$P,MATCH(Base!$B449,'Debêntures ANBIMA'!$A:$A,0))</f>
        <v>0.94971083731455874</v>
      </c>
    </row>
    <row r="236" spans="1:20" x14ac:dyDescent="0.35">
      <c r="A236">
        <f>YEAR(B236)</f>
        <v>2014</v>
      </c>
      <c r="B236" s="12">
        <f>DATE(YEAR(G236),MONTH(G236),DAY(1))</f>
        <v>41974</v>
      </c>
      <c r="C236">
        <f>IF(E236&lt;&gt;E235,C235+1,C235)</f>
        <v>28</v>
      </c>
      <c r="D236" s="6" t="s">
        <v>339</v>
      </c>
      <c r="E236" s="6" t="s">
        <v>199</v>
      </c>
      <c r="F236" s="6" t="s">
        <v>346</v>
      </c>
      <c r="G236" s="1">
        <v>41988</v>
      </c>
      <c r="H236" s="1">
        <v>43814</v>
      </c>
      <c r="I236" s="7">
        <f>IF(H236-G236&gt;(365*5),1,0)</f>
        <v>1</v>
      </c>
      <c r="J236" s="22">
        <v>1</v>
      </c>
      <c r="K236" s="9" t="str">
        <f>IF($N236="USD",INDEX('Dólar Spot'!$C:$C,MATCH(Base!$G450,'Dólar Spot'!$A:$A,0)),"")</f>
        <v/>
      </c>
      <c r="L236" s="8">
        <v>100000000</v>
      </c>
      <c r="M236" s="7">
        <f>IF(N236="USD",L236*K236/1000000,L236/1000000)</f>
        <v>100</v>
      </c>
      <c r="N236" s="6" t="s">
        <v>348</v>
      </c>
      <c r="O236" s="9" t="str" cm="1">
        <f t="array" ref="O236">INDEX(Ratings!$B$2:$L$42,_xlfn.XMATCH(Base!E450,Ratings!$A$2:$A$42),_xlfn.XMATCH(YEAR(Base!G450),Ratings!$B$1:$L$1))</f>
        <v>BB-</v>
      </c>
      <c r="P236">
        <f>IF(AND(O236&lt;&gt;"BBB-",O236&lt;&gt;"BBB",O236&lt;&gt;"BBB+"),0,1)</f>
        <v>0</v>
      </c>
      <c r="Q236" s="7">
        <f>INDEX('Bonds ANBIMA'!$F:$F,MATCH(Base!$B450,'Bonds ANBIMA'!$A:$A,0))</f>
        <v>1387.9463871794871</v>
      </c>
      <c r="R236" s="21">
        <f>INDEX('Bonds ANBIMA'!$H:$H,MATCH(Base!$B450,'Bonds ANBIMA'!$A:$A,0))</f>
        <v>0.5862068965517242</v>
      </c>
      <c r="S236" s="7">
        <f>INDEX('Debêntures ANBIMA'!$O:$O,MATCH(Base!$B450,'Debêntures ANBIMA'!$A:$A,0))</f>
        <v>295.56919334588235</v>
      </c>
      <c r="T236" s="24">
        <f>INDEX('Debêntures ANBIMA'!$P:$P,MATCH(Base!$B450,'Debêntures ANBIMA'!$A:$A,0))</f>
        <v>0.57509687651902874</v>
      </c>
    </row>
    <row r="237" spans="1:20" x14ac:dyDescent="0.35">
      <c r="A237">
        <f>YEAR(B237)</f>
        <v>2013</v>
      </c>
      <c r="B237" s="12">
        <f>DATE(YEAR(G237),MONTH(G237),DAY(1))</f>
        <v>41456</v>
      </c>
      <c r="C237">
        <f>IF(E237&lt;&gt;E236,C236+1,C236)</f>
        <v>28</v>
      </c>
      <c r="D237" s="6" t="s">
        <v>339</v>
      </c>
      <c r="E237" s="6" t="s">
        <v>199</v>
      </c>
      <c r="F237" s="6" t="s">
        <v>346</v>
      </c>
      <c r="G237" s="1">
        <v>41470</v>
      </c>
      <c r="H237" s="1">
        <v>44027</v>
      </c>
      <c r="I237" s="7">
        <f>IF(H237-G237&gt;(365*5),1,0)</f>
        <v>1</v>
      </c>
      <c r="J237" s="22">
        <v>1</v>
      </c>
      <c r="K237" s="9" t="str">
        <f>IF($N237="USD",INDEX('Dólar Spot'!$C:$C,MATCH(Base!$G451,'Dólar Spot'!$A:$A,0)),"")</f>
        <v/>
      </c>
      <c r="L237" s="8">
        <v>62472000</v>
      </c>
      <c r="M237" s="7">
        <f>IF(N237="USD",L237*K237/1000000,L237/1000000)</f>
        <v>62.472000000000001</v>
      </c>
      <c r="N237" s="6" t="s">
        <v>348</v>
      </c>
      <c r="O237" s="9" t="str" cm="1">
        <f t="array" ref="O237">INDEX(Ratings!$B$2:$L$42,_xlfn.XMATCH(Base!E451,Ratings!$A$2:$A$42),_xlfn.XMATCH(YEAR(Base!G451),Ratings!$B$1:$L$1))</f>
        <v>BB-</v>
      </c>
      <c r="P237">
        <f>IF(AND(O237&lt;&gt;"BBB-",O237&lt;&gt;"BBB",O237&lt;&gt;"BBB+"),0,1)</f>
        <v>0</v>
      </c>
      <c r="Q237" s="7">
        <f>INDEX('Bonds ANBIMA'!$F:$F,MATCH(Base!$B451,'Bonds ANBIMA'!$A:$A,0))</f>
        <v>2839.6104478571428</v>
      </c>
      <c r="R237" s="21">
        <f>INDEX('Bonds ANBIMA'!$H:$H,MATCH(Base!$B451,'Bonds ANBIMA'!$A:$A,0))</f>
        <v>0.85714285714285721</v>
      </c>
      <c r="S237" s="7">
        <f>INDEX('Debêntures ANBIMA'!$O:$O,MATCH(Base!$B451,'Debêntures ANBIMA'!$A:$A,0))</f>
        <v>452.61136363636365</v>
      </c>
      <c r="T237" s="24">
        <f>INDEX('Debêntures ANBIMA'!$P:$P,MATCH(Base!$B451,'Debêntures ANBIMA'!$A:$A,0))</f>
        <v>0.31589773616787159</v>
      </c>
    </row>
    <row r="238" spans="1:20" x14ac:dyDescent="0.35">
      <c r="A238">
        <f>YEAR(B238)</f>
        <v>2014</v>
      </c>
      <c r="B238" s="12">
        <f>DATE(YEAR(G238),MONTH(G238),DAY(1))</f>
        <v>41791</v>
      </c>
      <c r="C238">
        <f>IF(E238&lt;&gt;E237,C237+1,C237)</f>
        <v>28</v>
      </c>
      <c r="D238" s="6" t="s">
        <v>339</v>
      </c>
      <c r="E238" s="6" t="s">
        <v>199</v>
      </c>
      <c r="F238" s="6" t="s">
        <v>346</v>
      </c>
      <c r="G238" s="1">
        <v>41805</v>
      </c>
      <c r="H238" s="1">
        <v>44362</v>
      </c>
      <c r="I238" s="7">
        <f>IF(H238-G238&gt;(365*5),1,0)</f>
        <v>1</v>
      </c>
      <c r="J238" s="22">
        <v>1</v>
      </c>
      <c r="K238" s="9" t="str">
        <f>IF($N238="USD",INDEX('Dólar Spot'!$C:$C,MATCH(Base!$G452,'Dólar Spot'!$A:$A,0)),"")</f>
        <v/>
      </c>
      <c r="L238" s="8">
        <v>71751000</v>
      </c>
      <c r="M238" s="7">
        <f>IF(N238="USD",L238*K238/1000000,L238/1000000)</f>
        <v>71.751000000000005</v>
      </c>
      <c r="N238" s="6" t="s">
        <v>347</v>
      </c>
      <c r="O238" s="9" t="str" cm="1">
        <f t="array" ref="O238">INDEX(Ratings!$B$2:$L$42,_xlfn.XMATCH(Base!E452,Ratings!$A$2:$A$42),_xlfn.XMATCH(YEAR(Base!G452),Ratings!$B$1:$L$1))</f>
        <v>BB+</v>
      </c>
      <c r="P238">
        <f>IF(AND(O238&lt;&gt;"BBB-",O238&lt;&gt;"BBB",O238&lt;&gt;"BBB+"),0,1)</f>
        <v>0</v>
      </c>
      <c r="Q238" s="7">
        <f>INDEX('Bonds ANBIMA'!$F:$F,MATCH(Base!$B452,'Bonds ANBIMA'!$A:$A,0))</f>
        <v>2792.2687499999997</v>
      </c>
      <c r="R238" s="21">
        <f>INDEX('Bonds ANBIMA'!$H:$H,MATCH(Base!$B452,'Bonds ANBIMA'!$A:$A,0))</f>
        <v>1</v>
      </c>
      <c r="S238" s="7">
        <f>INDEX('Debêntures ANBIMA'!$O:$O,MATCH(Base!$B452,'Debêntures ANBIMA'!$A:$A,0))</f>
        <v>266.95299999999997</v>
      </c>
      <c r="T238" s="24">
        <f>INDEX('Debêntures ANBIMA'!$P:$P,MATCH(Base!$B452,'Debêntures ANBIMA'!$A:$A,0))</f>
        <v>0.51217228464419473</v>
      </c>
    </row>
    <row r="239" spans="1:20" x14ac:dyDescent="0.35">
      <c r="A239">
        <f>YEAR(B239)</f>
        <v>2014</v>
      </c>
      <c r="B239" s="12">
        <f>DATE(YEAR(G239),MONTH(G239),DAY(1))</f>
        <v>41974</v>
      </c>
      <c r="C239">
        <f>IF(E239&lt;&gt;E238,C238+1,C238)</f>
        <v>28</v>
      </c>
      <c r="D239" s="6" t="s">
        <v>339</v>
      </c>
      <c r="E239" s="6" t="s">
        <v>199</v>
      </c>
      <c r="F239" s="6" t="s">
        <v>346</v>
      </c>
      <c r="G239" s="1">
        <v>41988</v>
      </c>
      <c r="H239" s="1">
        <v>44545</v>
      </c>
      <c r="I239" s="7">
        <f>IF(H239-G239&gt;(365*5),1,0)</f>
        <v>1</v>
      </c>
      <c r="J239" s="22">
        <v>1</v>
      </c>
      <c r="K239" s="9" t="str">
        <f>IF($N239="USD",INDEX('Dólar Spot'!$C:$C,MATCH(Base!$G453,'Dólar Spot'!$A:$A,0)),"")</f>
        <v/>
      </c>
      <c r="L239" s="8">
        <v>150000000</v>
      </c>
      <c r="M239" s="7">
        <f>IF(N239="USD",L239*K239/1000000,L239/1000000)</f>
        <v>150</v>
      </c>
      <c r="N239" s="6" t="s">
        <v>348</v>
      </c>
      <c r="O239" s="9" t="str" cm="1">
        <f t="array" ref="O239">INDEX(Ratings!$B$2:$L$42,_xlfn.XMATCH(Base!E453,Ratings!$A$2:$A$42),_xlfn.XMATCH(YEAR(Base!G453),Ratings!$B$1:$L$1))</f>
        <v>BB+</v>
      </c>
      <c r="P239">
        <f>IF(AND(O239&lt;&gt;"BBB-",O239&lt;&gt;"BBB",O239&lt;&gt;"BBB+"),0,1)</f>
        <v>0</v>
      </c>
      <c r="Q239" s="7">
        <f>INDEX('Bonds ANBIMA'!$F:$F,MATCH(Base!$B453,'Bonds ANBIMA'!$A:$A,0))</f>
        <v>1716.2825217391307</v>
      </c>
      <c r="R239" s="21">
        <f>INDEX('Bonds ANBIMA'!$H:$H,MATCH(Base!$B453,'Bonds ANBIMA'!$A:$A,0))</f>
        <v>0.8</v>
      </c>
      <c r="S239" s="7">
        <f>INDEX('Debêntures ANBIMA'!$O:$O,MATCH(Base!$B453,'Debêntures ANBIMA'!$A:$A,0))</f>
        <v>367.76637837837836</v>
      </c>
      <c r="T239" s="24">
        <f>INDEX('Debêntures ANBIMA'!$P:$P,MATCH(Base!$B453,'Debêntures ANBIMA'!$A:$A,0))</f>
        <v>0.60073138807402171</v>
      </c>
    </row>
    <row r="240" spans="1:20" x14ac:dyDescent="0.35">
      <c r="A240">
        <f>YEAR(B240)</f>
        <v>2013</v>
      </c>
      <c r="B240" s="12">
        <f>DATE(YEAR(G240),MONTH(G240),DAY(1))</f>
        <v>41456</v>
      </c>
      <c r="C240">
        <f>IF(E240&lt;&gt;E239,C239+1,C239)</f>
        <v>28</v>
      </c>
      <c r="D240" s="6" t="s">
        <v>339</v>
      </c>
      <c r="E240" s="6" t="s">
        <v>199</v>
      </c>
      <c r="F240" s="6" t="s">
        <v>346</v>
      </c>
      <c r="G240" s="1">
        <v>41470</v>
      </c>
      <c r="H240" s="1">
        <v>44027</v>
      </c>
      <c r="I240" s="7">
        <f>IF(H240-G240&gt;(365*5),1,0)</f>
        <v>1</v>
      </c>
      <c r="J240" s="22">
        <v>1</v>
      </c>
      <c r="K240" s="9" t="str">
        <f>IF($N240="USD",INDEX('Dólar Spot'!$C:$C,MATCH(Base!$G454,'Dólar Spot'!$A:$A,0)),"")</f>
        <v/>
      </c>
      <c r="L240" s="8">
        <v>185099000</v>
      </c>
      <c r="M240" s="7">
        <f>IF(N240="USD",L240*K240/1000000,L240/1000000)</f>
        <v>185.09899999999999</v>
      </c>
      <c r="N240" s="6" t="s">
        <v>347</v>
      </c>
      <c r="O240" s="9" t="str" cm="1">
        <f t="array" ref="O240">INDEX(Ratings!$B$2:$L$42,_xlfn.XMATCH(Base!E454,Ratings!$A$2:$A$42),_xlfn.XMATCH(YEAR(Base!G454),Ratings!$B$1:$L$1))</f>
        <v>BB+</v>
      </c>
      <c r="P240">
        <f>IF(AND(O240&lt;&gt;"BBB-",O240&lt;&gt;"BBB",O240&lt;&gt;"BBB+"),0,1)</f>
        <v>0</v>
      </c>
      <c r="Q240" s="7">
        <f>INDEX('Bonds ANBIMA'!$F:$F,MATCH(Base!$B454,'Bonds ANBIMA'!$A:$A,0))</f>
        <v>0</v>
      </c>
      <c r="R240" s="21">
        <f>INDEX('Bonds ANBIMA'!$H:$H,MATCH(Base!$B454,'Bonds ANBIMA'!$A:$A,0))</f>
        <v>0.69230769230769229</v>
      </c>
      <c r="S240" s="7">
        <f>INDEX('Debêntures ANBIMA'!$O:$O,MATCH(Base!$B454,'Debêntures ANBIMA'!$A:$A,0))</f>
        <v>388.82487878787879</v>
      </c>
      <c r="T240" s="24">
        <f>INDEX('Debêntures ANBIMA'!$P:$P,MATCH(Base!$B454,'Debêntures ANBIMA'!$A:$A,0))</f>
        <v>0.42853613627928244</v>
      </c>
    </row>
    <row r="241" spans="1:20" x14ac:dyDescent="0.35">
      <c r="A241">
        <f>YEAR(B241)</f>
        <v>2014</v>
      </c>
      <c r="B241" s="12">
        <f>DATE(YEAR(G241),MONTH(G241),DAY(1))</f>
        <v>41791</v>
      </c>
      <c r="C241">
        <f>IF(E241&lt;&gt;E240,C240+1,C240)</f>
        <v>28</v>
      </c>
      <c r="D241" s="6" t="s">
        <v>339</v>
      </c>
      <c r="E241" s="6" t="s">
        <v>199</v>
      </c>
      <c r="F241" s="6" t="s">
        <v>346</v>
      </c>
      <c r="G241" s="1">
        <v>41805</v>
      </c>
      <c r="H241" s="1">
        <v>44362</v>
      </c>
      <c r="I241" s="7">
        <f>IF(H241-G241&gt;(365*5),1,0)</f>
        <v>1</v>
      </c>
      <c r="J241" s="22">
        <v>1</v>
      </c>
      <c r="K241" s="9" t="str">
        <f>IF($N241="USD",INDEX('Dólar Spot'!$C:$C,MATCH(Base!$G455,'Dólar Spot'!$A:$A,0)),"")</f>
        <v/>
      </c>
      <c r="L241" s="8">
        <v>163074000</v>
      </c>
      <c r="M241" s="7">
        <f>IF(N241="USD",L241*K241/1000000,L241/1000000)</f>
        <v>163.07400000000001</v>
      </c>
      <c r="N241" s="6" t="s">
        <v>348</v>
      </c>
      <c r="O241" s="9" t="str" cm="1">
        <f t="array" ref="O241">INDEX(Ratings!$B$2:$L$42,_xlfn.XMATCH(Base!E455,Ratings!$A$2:$A$42),_xlfn.XMATCH(YEAR(Base!G455),Ratings!$B$1:$L$1))</f>
        <v>BB+</v>
      </c>
      <c r="P241">
        <f>IF(AND(O241&lt;&gt;"BBB-",O241&lt;&gt;"BBB",O241&lt;&gt;"BBB+"),0,1)</f>
        <v>0</v>
      </c>
      <c r="Q241" s="7">
        <f>INDEX('Bonds ANBIMA'!$F:$F,MATCH(Base!$B455,'Bonds ANBIMA'!$A:$A,0))</f>
        <v>3344.2145454545453</v>
      </c>
      <c r="R241" s="21">
        <f>INDEX('Bonds ANBIMA'!$H:$H,MATCH(Base!$B455,'Bonds ANBIMA'!$A:$A,0))</f>
        <v>0.72222222222222221</v>
      </c>
      <c r="S241" s="7">
        <f>INDEX('Debêntures ANBIMA'!$O:$O,MATCH(Base!$B455,'Debêntures ANBIMA'!$A:$A,0))</f>
        <v>406.54441818181817</v>
      </c>
      <c r="T241" s="24">
        <f>INDEX('Debêntures ANBIMA'!$P:$P,MATCH(Base!$B455,'Debêntures ANBIMA'!$A:$A,0))</f>
        <v>0.78798019506593575</v>
      </c>
    </row>
    <row r="242" spans="1:20" x14ac:dyDescent="0.35">
      <c r="A242">
        <f>YEAR(B242)</f>
        <v>2017</v>
      </c>
      <c r="B242" s="12">
        <f>DATE(YEAR(G242),MONTH(G242),DAY(1))</f>
        <v>42887</v>
      </c>
      <c r="C242">
        <f>IF(E242&lt;&gt;E241,C241+1,C241)</f>
        <v>28</v>
      </c>
      <c r="D242" s="6" t="s">
        <v>339</v>
      </c>
      <c r="E242" s="6" t="s">
        <v>199</v>
      </c>
      <c r="F242" s="6" t="s">
        <v>346</v>
      </c>
      <c r="G242" s="1">
        <v>42906</v>
      </c>
      <c r="H242" s="1">
        <v>47016</v>
      </c>
      <c r="I242" s="7">
        <f>IF(H242-G242&gt;(365*5),1,0)</f>
        <v>1</v>
      </c>
      <c r="J242" s="22">
        <v>1</v>
      </c>
      <c r="K242" s="9" t="str">
        <f>IF($N242="USD",INDEX('Dólar Spot'!$C:$C,MATCH(Base!$G456,'Dólar Spot'!$A:$A,0)),"")</f>
        <v/>
      </c>
      <c r="L242" s="8">
        <v>400000000</v>
      </c>
      <c r="M242" s="7">
        <f>IF(N242="USD",L242*K242/1000000,L242/1000000)</f>
        <v>400</v>
      </c>
      <c r="N242" s="6" t="s">
        <v>348</v>
      </c>
      <c r="O242" s="9" t="str" cm="1">
        <f t="array" ref="O242">INDEX(Ratings!$B$2:$L$42,_xlfn.XMATCH(Base!E456,Ratings!$A$2:$A$42),_xlfn.XMATCH(YEAR(Base!G456),Ratings!$B$1:$L$1))</f>
        <v>BB+</v>
      </c>
      <c r="P242">
        <f>IF(AND(O242&lt;&gt;"BBB-",O242&lt;&gt;"BBB",O242&lt;&gt;"BBB+"),0,1)</f>
        <v>0</v>
      </c>
      <c r="Q242" s="7">
        <f>INDEX('Bonds ANBIMA'!$F:$F,MATCH(Base!$B456,'Bonds ANBIMA'!$A:$A,0))</f>
        <v>4407.4187499999998</v>
      </c>
      <c r="R242" s="21">
        <f>INDEX('Bonds ANBIMA'!$H:$H,MATCH(Base!$B456,'Bonds ANBIMA'!$A:$A,0))</f>
        <v>0.75</v>
      </c>
      <c r="S242" s="7">
        <f>INDEX('Debêntures ANBIMA'!$O:$O,MATCH(Base!$B456,'Debêntures ANBIMA'!$A:$A,0))</f>
        <v>370.50270588235298</v>
      </c>
      <c r="T242" s="24">
        <f>INDEX('Debêntures ANBIMA'!$P:$P,MATCH(Base!$B456,'Debêntures ANBIMA'!$A:$A,0))</f>
        <v>0.71227947317539486</v>
      </c>
    </row>
    <row r="243" spans="1:20" x14ac:dyDescent="0.35">
      <c r="A243">
        <f>YEAR(B243)</f>
        <v>2018</v>
      </c>
      <c r="B243" s="12">
        <f>DATE(YEAR(G243),MONTH(G243),DAY(1))</f>
        <v>43435</v>
      </c>
      <c r="C243">
        <f>IF(E243&lt;&gt;E242,C242+1,C242)</f>
        <v>28</v>
      </c>
      <c r="D243" s="6" t="s">
        <v>339</v>
      </c>
      <c r="E243" s="6" t="s">
        <v>199</v>
      </c>
      <c r="F243" s="6" t="s">
        <v>346</v>
      </c>
      <c r="G243" s="1">
        <v>43454</v>
      </c>
      <c r="H243" s="1">
        <v>47016</v>
      </c>
      <c r="I243" s="7">
        <f>IF(H243-G243&gt;(365*5),1,0)</f>
        <v>1</v>
      </c>
      <c r="J243" s="22">
        <v>1</v>
      </c>
      <c r="K243" s="9" t="str">
        <f>IF($N243="USD",INDEX('Dólar Spot'!$C:$C,MATCH(Base!$G457,'Dólar Spot'!$A:$A,0)),"")</f>
        <v/>
      </c>
      <c r="L243" s="8">
        <v>600000000</v>
      </c>
      <c r="M243" s="7">
        <f>IF(N243="USD",L243*K243/1000000,L243/1000000)</f>
        <v>600</v>
      </c>
      <c r="N243" s="6" t="s">
        <v>348</v>
      </c>
      <c r="O243" s="9" t="str" cm="1">
        <f t="array" ref="O243">INDEX(Ratings!$B$2:$L$42,_xlfn.XMATCH(Base!E457,Ratings!$A$2:$A$42),_xlfn.XMATCH(YEAR(Base!G457),Ratings!$B$1:$L$1))</f>
        <v>BB+</v>
      </c>
      <c r="P243">
        <f>IF(AND(O243&lt;&gt;"BBB-",O243&lt;&gt;"BBB",O243&lt;&gt;"BBB+"),0,1)</f>
        <v>0</v>
      </c>
      <c r="Q243" s="7">
        <f>INDEX('Bonds ANBIMA'!$F:$F,MATCH(Base!$B457,'Bonds ANBIMA'!$A:$A,0))</f>
        <v>1716.2825217391307</v>
      </c>
      <c r="R243" s="21">
        <f>INDEX('Bonds ANBIMA'!$H:$H,MATCH(Base!$B457,'Bonds ANBIMA'!$A:$A,0))</f>
        <v>0.8</v>
      </c>
      <c r="S243" s="7">
        <f>INDEX('Debêntures ANBIMA'!$O:$O,MATCH(Base!$B457,'Debêntures ANBIMA'!$A:$A,0))</f>
        <v>367.76637837837836</v>
      </c>
      <c r="T243" s="24">
        <f>INDEX('Debêntures ANBIMA'!$P:$P,MATCH(Base!$B457,'Debêntures ANBIMA'!$A:$A,0))</f>
        <v>0.60073138807402171</v>
      </c>
    </row>
    <row r="244" spans="1:20" x14ac:dyDescent="0.35">
      <c r="A244">
        <f>YEAR(B244)</f>
        <v>2019</v>
      </c>
      <c r="B244" s="12">
        <f>DATE(YEAR(G244),MONTH(G244),DAY(1))</f>
        <v>43586</v>
      </c>
      <c r="C244">
        <f>IF(E244&lt;&gt;E243,C243+1,C243)</f>
        <v>28</v>
      </c>
      <c r="D244" s="6" t="s">
        <v>339</v>
      </c>
      <c r="E244" s="6" t="s">
        <v>199</v>
      </c>
      <c r="F244" s="6" t="s">
        <v>346</v>
      </c>
      <c r="G244" s="1">
        <v>43605</v>
      </c>
      <c r="H244" s="1">
        <v>45432</v>
      </c>
      <c r="I244" s="7">
        <f>IF(H244-G244&gt;(365*5),1,0)</f>
        <v>1</v>
      </c>
      <c r="J244" s="22">
        <v>1</v>
      </c>
      <c r="K244" s="9" t="str">
        <f>IF($N244="USD",INDEX('Dólar Spot'!$C:$C,MATCH(Base!$G458,'Dólar Spot'!$A:$A,0)),"")</f>
        <v/>
      </c>
      <c r="L244" s="8">
        <v>344940000</v>
      </c>
      <c r="M244" s="7">
        <f>IF(N244="USD",L244*K244/1000000,L244/1000000)</f>
        <v>344.94</v>
      </c>
      <c r="N244" s="6" t="s">
        <v>348</v>
      </c>
      <c r="O244" s="9" t="str" cm="1">
        <f t="array" ref="O244">INDEX(Ratings!$B$2:$L$42,_xlfn.XMATCH(Base!E458,Ratings!$A$2:$A$42),_xlfn.XMATCH(YEAR(Base!G458),Ratings!$B$1:$L$1))</f>
        <v>BB+</v>
      </c>
      <c r="P244">
        <f>IF(AND(O244&lt;&gt;"BBB-",O244&lt;&gt;"BBB",O244&lt;&gt;"BBB+"),0,1)</f>
        <v>0</v>
      </c>
      <c r="Q244" s="7">
        <f>INDEX('Bonds ANBIMA'!$F:$F,MATCH(Base!$B458,'Bonds ANBIMA'!$A:$A,0))</f>
        <v>3344.2145454545453</v>
      </c>
      <c r="R244" s="21">
        <f>INDEX('Bonds ANBIMA'!$H:$H,MATCH(Base!$B458,'Bonds ANBIMA'!$A:$A,0))</f>
        <v>0.72222222222222221</v>
      </c>
      <c r="S244" s="7">
        <f>INDEX('Debêntures ANBIMA'!$O:$O,MATCH(Base!$B458,'Debêntures ANBIMA'!$A:$A,0))</f>
        <v>406.54441818181817</v>
      </c>
      <c r="T244" s="24">
        <f>INDEX('Debêntures ANBIMA'!$P:$P,MATCH(Base!$B458,'Debêntures ANBIMA'!$A:$A,0))</f>
        <v>0.78798019506593575</v>
      </c>
    </row>
    <row r="245" spans="1:20" x14ac:dyDescent="0.35">
      <c r="A245">
        <f>YEAR(B245)</f>
        <v>2019</v>
      </c>
      <c r="B245" s="12">
        <f>DATE(YEAR(G245),MONTH(G245),DAY(1))</f>
        <v>43770</v>
      </c>
      <c r="C245">
        <f>IF(E245&lt;&gt;E244,C244+1,C244)</f>
        <v>28</v>
      </c>
      <c r="D245" s="6" t="s">
        <v>339</v>
      </c>
      <c r="E245" s="6" t="s">
        <v>199</v>
      </c>
      <c r="F245" s="6" t="s">
        <v>346</v>
      </c>
      <c r="G245" s="1">
        <v>43789</v>
      </c>
      <c r="H245" s="1">
        <v>45250</v>
      </c>
      <c r="I245" s="7">
        <f>IF(H245-G245&gt;(365*5),1,0)</f>
        <v>0</v>
      </c>
      <c r="J245" s="22">
        <v>1</v>
      </c>
      <c r="K245" s="9" t="str">
        <f>IF($N245="USD",INDEX('Dólar Spot'!$C:$C,MATCH(Base!$G459,'Dólar Spot'!$A:$A,0)),"")</f>
        <v/>
      </c>
      <c r="L245" s="8">
        <v>200000000</v>
      </c>
      <c r="M245" s="7">
        <f>IF(N245="USD",L245*K245/1000000,L245/1000000)</f>
        <v>200</v>
      </c>
      <c r="N245" s="6" t="s">
        <v>348</v>
      </c>
      <c r="O245" s="9" t="str" cm="1">
        <f t="array" ref="O245">INDEX(Ratings!$B$2:$L$42,_xlfn.XMATCH(Base!E459,Ratings!$A$2:$A$42),_xlfn.XMATCH(YEAR(Base!G459),Ratings!$B$1:$L$1))</f>
        <v>BB+</v>
      </c>
      <c r="P245">
        <f>IF(AND(O245&lt;&gt;"BBB-",O245&lt;&gt;"BBB",O245&lt;&gt;"BBB+"),0,1)</f>
        <v>0</v>
      </c>
      <c r="Q245" s="7">
        <f>INDEX('Bonds ANBIMA'!$F:$F,MATCH(Base!$B459,'Bonds ANBIMA'!$A:$A,0))</f>
        <v>4407.4187499999998</v>
      </c>
      <c r="R245" s="21">
        <f>INDEX('Bonds ANBIMA'!$H:$H,MATCH(Base!$B459,'Bonds ANBIMA'!$A:$A,0))</f>
        <v>0.75</v>
      </c>
      <c r="S245" s="7">
        <f>INDEX('Debêntures ANBIMA'!$O:$O,MATCH(Base!$B459,'Debêntures ANBIMA'!$A:$A,0))</f>
        <v>370.50270588235298</v>
      </c>
      <c r="T245" s="24">
        <f>INDEX('Debêntures ANBIMA'!$P:$P,MATCH(Base!$B459,'Debêntures ANBIMA'!$A:$A,0))</f>
        <v>0.71227947317539486</v>
      </c>
    </row>
    <row r="246" spans="1:20" x14ac:dyDescent="0.35">
      <c r="A246">
        <f>YEAR(B246)</f>
        <v>2021</v>
      </c>
      <c r="B246" s="12">
        <f>DATE(YEAR(G246),MONTH(G246),DAY(1))</f>
        <v>44440</v>
      </c>
      <c r="C246">
        <f>IF(E246&lt;&gt;E245,C245+1,C245)</f>
        <v>28</v>
      </c>
      <c r="D246" s="6" t="s">
        <v>339</v>
      </c>
      <c r="E246" s="6" t="s">
        <v>199</v>
      </c>
      <c r="F246" s="6" t="s">
        <v>346</v>
      </c>
      <c r="G246" s="1">
        <v>44454</v>
      </c>
      <c r="H246" s="1">
        <v>47863</v>
      </c>
      <c r="I246" s="7">
        <f>IF(H246-G246&gt;(365*5),1,0)</f>
        <v>1</v>
      </c>
      <c r="J246" s="22">
        <v>1</v>
      </c>
      <c r="K246" s="9" t="str">
        <f>IF($N246="USD",INDEX('Dólar Spot'!$C:$C,MATCH(Base!$G460,'Dólar Spot'!$A:$A,0)),"")</f>
        <v/>
      </c>
      <c r="L246" s="8">
        <v>1245000000</v>
      </c>
      <c r="M246" s="7">
        <f>IF(N246="USD",L246*K246/1000000,L246/1000000)</f>
        <v>1245</v>
      </c>
      <c r="N246" s="6" t="s">
        <v>348</v>
      </c>
      <c r="O246" s="9" t="str" cm="1">
        <f t="array" ref="O246">INDEX(Ratings!$B$2:$L$42,_xlfn.XMATCH(Base!E460,Ratings!$A$2:$A$42),_xlfn.XMATCH(YEAR(Base!G460),Ratings!$B$1:$L$1))</f>
        <v>BB-</v>
      </c>
      <c r="P246">
        <f>IF(AND(O246&lt;&gt;"BBB-",O246&lt;&gt;"BBB",O246&lt;&gt;"BBB+"),0,1)</f>
        <v>0</v>
      </c>
      <c r="Q246" s="7">
        <f>INDEX('Bonds ANBIMA'!$F:$F,MATCH(Base!$B460,'Bonds ANBIMA'!$A:$A,0))</f>
        <v>4864.67</v>
      </c>
      <c r="R246" s="21">
        <f>INDEX('Bonds ANBIMA'!$H:$H,MATCH(Base!$B460,'Bonds ANBIMA'!$A:$A,0))</f>
        <v>0.85714285714285721</v>
      </c>
      <c r="S246" s="7">
        <f>INDEX('Debêntures ANBIMA'!$O:$O,MATCH(Base!$B460,'Debêntures ANBIMA'!$A:$A,0))</f>
        <v>336.99742476</v>
      </c>
      <c r="T246" s="24">
        <f>INDEX('Debêntures ANBIMA'!$P:$P,MATCH(Base!$B460,'Debêntures ANBIMA'!$A:$A,0))</f>
        <v>0.64497198827378088</v>
      </c>
    </row>
    <row r="247" spans="1:20" x14ac:dyDescent="0.35">
      <c r="A247">
        <f>YEAR(B247)</f>
        <v>2019</v>
      </c>
      <c r="B247" s="12">
        <f>DATE(YEAR(G247),MONTH(G247),DAY(1))</f>
        <v>43586</v>
      </c>
      <c r="C247">
        <f>IF(E247&lt;&gt;E246,C246+1,C246)</f>
        <v>28</v>
      </c>
      <c r="D247" s="6" t="s">
        <v>339</v>
      </c>
      <c r="E247" s="6" t="s">
        <v>199</v>
      </c>
      <c r="F247" s="6" t="s">
        <v>346</v>
      </c>
      <c r="G247" s="1">
        <v>43605</v>
      </c>
      <c r="H247" s="1">
        <v>46162</v>
      </c>
      <c r="I247" s="7">
        <f>IF(H247-G247&gt;(365*5),1,0)</f>
        <v>1</v>
      </c>
      <c r="J247" s="22">
        <v>1</v>
      </c>
      <c r="K247" s="9" t="str">
        <f>IF($N247="USD",INDEX('Dólar Spot'!$C:$C,MATCH(Base!$G461,'Dólar Spot'!$A:$A,0)),"")</f>
        <v/>
      </c>
      <c r="L247" s="8">
        <v>105060000</v>
      </c>
      <c r="M247" s="7">
        <f>IF(N247="USD",L247*K247/1000000,L247/1000000)</f>
        <v>105.06</v>
      </c>
      <c r="N247" s="6" t="s">
        <v>348</v>
      </c>
      <c r="O247" s="9" t="str" cm="1">
        <f t="array" ref="O247">INDEX(Ratings!$B$2:$L$42,_xlfn.XMATCH(Base!E461,Ratings!$A$2:$A$42),_xlfn.XMATCH(YEAR(Base!G461),Ratings!$B$1:$L$1))</f>
        <v>BB</v>
      </c>
      <c r="P247">
        <f>IF(AND(O247&lt;&gt;"BBB-",O247&lt;&gt;"BBB",O247&lt;&gt;"BBB+"),0,1)</f>
        <v>0</v>
      </c>
      <c r="Q247" s="7">
        <f>INDEX('Bonds ANBIMA'!$F:$F,MATCH(Base!$B461,'Bonds ANBIMA'!$A:$A,0))</f>
        <v>1041.7998809523808</v>
      </c>
      <c r="R247" s="21">
        <f>INDEX('Bonds ANBIMA'!$H:$H,MATCH(Base!$B461,'Bonds ANBIMA'!$A:$A,0))</f>
        <v>0.88900000000000001</v>
      </c>
      <c r="S247" s="7">
        <f>INDEX('Debêntures ANBIMA'!$O:$O,MATCH(Base!$B461,'Debêntures ANBIMA'!$A:$A,0))</f>
        <v>287.34284210526317</v>
      </c>
      <c r="T247" s="24">
        <f>INDEX('Debêntures ANBIMA'!$P:$P,MATCH(Base!$B461,'Debêntures ANBIMA'!$A:$A,0))</f>
        <v>0.64590629073898931</v>
      </c>
    </row>
    <row r="248" spans="1:20" x14ac:dyDescent="0.35">
      <c r="A248">
        <f>YEAR(B248)</f>
        <v>2021</v>
      </c>
      <c r="B248" s="12">
        <f>DATE(YEAR(G248),MONTH(G248),DAY(1))</f>
        <v>44440</v>
      </c>
      <c r="C248">
        <f>IF(E248&lt;&gt;E247,C247+1,C247)</f>
        <v>28</v>
      </c>
      <c r="D248" s="6" t="s">
        <v>339</v>
      </c>
      <c r="E248" s="6" t="s">
        <v>199</v>
      </c>
      <c r="F248" s="6" t="s">
        <v>346</v>
      </c>
      <c r="G248" s="1">
        <v>44454</v>
      </c>
      <c r="H248" s="1">
        <v>48106</v>
      </c>
      <c r="I248" s="7">
        <f>IF(H248-G248&gt;(365*5),1,0)</f>
        <v>1</v>
      </c>
      <c r="J248" s="22">
        <v>1</v>
      </c>
      <c r="K248" s="9" t="str">
        <f>IF($N248="USD",INDEX('Dólar Spot'!$C:$C,MATCH(Base!$G462,'Dólar Spot'!$A:$A,0)),"")</f>
        <v/>
      </c>
      <c r="L248" s="8">
        <v>255000000</v>
      </c>
      <c r="M248" s="7">
        <f>IF(N248="USD",L248*K248/1000000,L248/1000000)</f>
        <v>255</v>
      </c>
      <c r="N248" s="6" t="s">
        <v>347</v>
      </c>
      <c r="O248" s="9" t="str" cm="1">
        <f t="array" ref="O248">INDEX(Ratings!$B$2:$L$42,_xlfn.XMATCH(Base!E462,Ratings!$A$2:$A$42),_xlfn.XMATCH(YEAR(Base!G462),Ratings!$B$1:$L$1))</f>
        <v>BB</v>
      </c>
      <c r="P248">
        <f>IF(AND(O248&lt;&gt;"BBB-",O248&lt;&gt;"BBB",O248&lt;&gt;"BBB+"),0,1)</f>
        <v>0</v>
      </c>
      <c r="Q248" s="7">
        <f>INDEX('Bonds ANBIMA'!$F:$F,MATCH(Base!$B462,'Bonds ANBIMA'!$A:$A,0))</f>
        <v>1861.792090909091</v>
      </c>
      <c r="R248" s="21">
        <f>INDEX('Bonds ANBIMA'!$H:$H,MATCH(Base!$B462,'Bonds ANBIMA'!$A:$A,0))</f>
        <v>1</v>
      </c>
      <c r="S248" s="7">
        <f>INDEX('Debêntures ANBIMA'!$O:$O,MATCH(Base!$B462,'Debêntures ANBIMA'!$A:$A,0))</f>
        <v>403.11666666666667</v>
      </c>
      <c r="T248" s="24">
        <f>INDEX('Debêntures ANBIMA'!$P:$P,MATCH(Base!$B462,'Debêntures ANBIMA'!$A:$A,0))</f>
        <v>0.27549751243781095</v>
      </c>
    </row>
    <row r="249" spans="1:20" x14ac:dyDescent="0.35">
      <c r="A249">
        <f>YEAR(B249)</f>
        <v>2020</v>
      </c>
      <c r="B249" s="12">
        <f>DATE(YEAR(G249),MONTH(G249),DAY(1))</f>
        <v>44105</v>
      </c>
      <c r="C249">
        <f>IF(E249&lt;&gt;E248,C248+1,C248)</f>
        <v>29</v>
      </c>
      <c r="D249" s="6" t="s">
        <v>200</v>
      </c>
      <c r="E249" s="6" t="s">
        <v>20</v>
      </c>
      <c r="F249" s="6" t="s">
        <v>233</v>
      </c>
      <c r="G249" s="1">
        <v>44110</v>
      </c>
      <c r="H249" s="1" t="s">
        <v>201</v>
      </c>
      <c r="I249" s="7">
        <f>IF(H249-G249&gt;(365*5),1,0)</f>
        <v>1</v>
      </c>
      <c r="J249" s="22">
        <v>0</v>
      </c>
      <c r="K249" s="9" t="e">
        <f>IF($N249="USD",INDEX('Dólar Spot'!$C:$C,MATCH(Base!$G15,'Dólar Spot'!$A:$A,0)),"")</f>
        <v>#N/A</v>
      </c>
      <c r="L249" s="8">
        <v>500000000</v>
      </c>
      <c r="M249" s="7" t="e">
        <f>IF(N249="USD",L249*K249/1000000,L249/1000000)</f>
        <v>#N/A</v>
      </c>
      <c r="N249" s="6" t="s">
        <v>16</v>
      </c>
      <c r="O249" s="9" t="str" cm="1">
        <f t="array" ref="O249">INDEX(Ratings!$B$2:$L$42,_xlfn.XMATCH(Base!E15,Ratings!$A$2:$A$42),_xlfn.XMATCH(YEAR(Base!G15),Ratings!$B$1:$L$1))</f>
        <v>BB</v>
      </c>
      <c r="P249">
        <f>IF(AND(O249&lt;&gt;"BBB-",O249&lt;&gt;"BBB",O249&lt;&gt;"BBB+"),0,1)</f>
        <v>0</v>
      </c>
      <c r="Q249" s="7">
        <f>INDEX('Bonds ANBIMA'!$F:$F,MATCH(Base!$B15,'Bonds ANBIMA'!$A:$A,0))</f>
        <v>2347.4684999999999</v>
      </c>
      <c r="R249" s="21">
        <f>INDEX('Bonds ANBIMA'!$H:$H,MATCH(Base!$B15,'Bonds ANBIMA'!$A:$A,0))</f>
        <v>0.72727272727272729</v>
      </c>
      <c r="S249" s="7">
        <f>INDEX('Debêntures ANBIMA'!$O:$O,MATCH(Base!$B15,'Debêntures ANBIMA'!$A:$A,0))</f>
        <v>422.12423076923073</v>
      </c>
      <c r="T249" s="24">
        <f>INDEX('Debêntures ANBIMA'!$P:$P,MATCH(Base!$B15,'Debêntures ANBIMA'!$A:$A,0))</f>
        <v>0.74161267158767152</v>
      </c>
    </row>
    <row r="250" spans="1:20" x14ac:dyDescent="0.35">
      <c r="A250">
        <f>YEAR(B250)</f>
        <v>2019</v>
      </c>
      <c r="B250" s="12">
        <f>DATE(YEAR(G250),MONTH(G250),DAY(1))</f>
        <v>43556</v>
      </c>
      <c r="C250">
        <f>IF(E250&lt;&gt;E249,C249+1,C249)</f>
        <v>30</v>
      </c>
      <c r="D250" s="6" t="s">
        <v>121</v>
      </c>
      <c r="E250" s="6" t="s">
        <v>120</v>
      </c>
      <c r="F250" s="6" t="s">
        <v>233</v>
      </c>
      <c r="G250" s="1">
        <v>43558</v>
      </c>
      <c r="H250" s="1" t="s">
        <v>122</v>
      </c>
      <c r="I250" s="7">
        <f>IF(H250-G250&gt;(365*5),1,0)</f>
        <v>1</v>
      </c>
      <c r="J250" s="22">
        <v>1</v>
      </c>
      <c r="K250" s="9">
        <f>IF($N250="USD",INDEX('Dólar Spot'!$C:$C,MATCH(Base!$G230,'Dólar Spot'!$A:$A,0)),"")</f>
        <v>5.5564999999999998</v>
      </c>
      <c r="L250" s="8">
        <v>500000000</v>
      </c>
      <c r="M250" s="7">
        <f>IF(N250="USD",L250*K250/1000000,L250/1000000)</f>
        <v>2778.25</v>
      </c>
      <c r="N250" s="6" t="s">
        <v>16</v>
      </c>
      <c r="O250" s="9" t="str" cm="1">
        <f t="array" ref="O250">INDEX(Ratings!$B$2:$L$42,_xlfn.XMATCH(Base!E230,Ratings!$A$2:$A$42),_xlfn.XMATCH(YEAR(Base!G230),Ratings!$B$1:$L$1))</f>
        <v>BB-</v>
      </c>
      <c r="P250">
        <f>IF(AND(O250&lt;&gt;"BBB-",O250&lt;&gt;"BBB",O250&lt;&gt;"BBB+"),0,1)</f>
        <v>0</v>
      </c>
      <c r="Q250" s="7">
        <f>INDEX('Bonds ANBIMA'!$F:$F,MATCH(Base!$B230,'Bonds ANBIMA'!$A:$A,0))</f>
        <v>830.90625000000023</v>
      </c>
      <c r="R250" s="21">
        <f>INDEX('Bonds ANBIMA'!$H:$H,MATCH(Base!$B230,'Bonds ANBIMA'!$A:$A,0))</f>
        <v>0.72727272727272729</v>
      </c>
      <c r="S250" s="7">
        <f>INDEX('Debêntures ANBIMA'!$O:$O,MATCH(Base!$B230,'Debêntures ANBIMA'!$A:$A,0))</f>
        <v>433.14238554216865</v>
      </c>
      <c r="T250" s="24">
        <f>INDEX('Debêntures ANBIMA'!$P:$P,MATCH(Base!$B230,'Debêntures ANBIMA'!$A:$A,0))</f>
        <v>0.92091969370314131</v>
      </c>
    </row>
    <row r="251" spans="1:20" x14ac:dyDescent="0.35">
      <c r="A251">
        <f>YEAR(B251)</f>
        <v>2019</v>
      </c>
      <c r="B251" s="12">
        <f>DATE(YEAR(G251),MONTH(G251),DAY(1))</f>
        <v>43556</v>
      </c>
      <c r="C251">
        <f>IF(E251&lt;&gt;E250,C250+1,C250)</f>
        <v>30</v>
      </c>
      <c r="D251" s="6" t="s">
        <v>121</v>
      </c>
      <c r="E251" s="6" t="s">
        <v>120</v>
      </c>
      <c r="F251" s="6" t="s">
        <v>233</v>
      </c>
      <c r="G251" s="1">
        <v>43558</v>
      </c>
      <c r="H251" s="1" t="s">
        <v>123</v>
      </c>
      <c r="I251" s="7">
        <f>IF(H251-G251&gt;(365*5),1,0)</f>
        <v>1</v>
      </c>
      <c r="J251" s="22">
        <v>1</v>
      </c>
      <c r="K251" s="9">
        <f>IF($N251="USD",INDEX('Dólar Spot'!$C:$C,MATCH(Base!$G231,'Dólar Spot'!$A:$A,0)),"")</f>
        <v>1.5980000000000001</v>
      </c>
      <c r="L251" s="8">
        <v>500000000</v>
      </c>
      <c r="M251" s="7">
        <f>IF(N251="USD",L251*K251/1000000,L251/1000000)</f>
        <v>799</v>
      </c>
      <c r="N251" s="6" t="s">
        <v>16</v>
      </c>
      <c r="O251" s="9" t="str" cm="1">
        <f t="array" ref="O251">INDEX(Ratings!$B$2:$L$42,_xlfn.XMATCH(Base!E231,Ratings!$A$2:$A$42),_xlfn.XMATCH(YEAR(Base!G231),Ratings!$B$1:$L$1))</f>
        <v>BB-</v>
      </c>
      <c r="P251">
        <f>IF(AND(O251&lt;&gt;"BBB-",O251&lt;&gt;"BBB",O251&lt;&gt;"BBB+"),0,1)</f>
        <v>0</v>
      </c>
      <c r="Q251" s="7">
        <f>INDEX('Bonds ANBIMA'!$F:$F,MATCH(Base!$B231,'Bonds ANBIMA'!$A:$A,0))</f>
        <v>1408.4616384615385</v>
      </c>
      <c r="R251" s="21">
        <f>INDEX('Bonds ANBIMA'!$H:$H,MATCH(Base!$B231,'Bonds ANBIMA'!$A:$A,0))</f>
        <v>0.5862068965517242</v>
      </c>
      <c r="S251" s="7">
        <f>INDEX('Debêntures ANBIMA'!$O:$O,MATCH(Base!$B231,'Debêntures ANBIMA'!$A:$A,0))</f>
        <v>558.13793103448279</v>
      </c>
      <c r="T251" s="24">
        <f>INDEX('Debêntures ANBIMA'!$P:$P,MATCH(Base!$B231,'Debêntures ANBIMA'!$A:$A,0))</f>
        <v>0.95063635240331146</v>
      </c>
    </row>
    <row r="252" spans="1:20" x14ac:dyDescent="0.35">
      <c r="A252">
        <f>YEAR(B252)</f>
        <v>2021</v>
      </c>
      <c r="B252" s="12">
        <f>DATE(YEAR(G252),MONTH(G252),DAY(1))</f>
        <v>44197</v>
      </c>
      <c r="C252">
        <f>IF(E252&lt;&gt;E251,C251+1,C251)</f>
        <v>30</v>
      </c>
      <c r="D252" s="6" t="s">
        <v>121</v>
      </c>
      <c r="E252" s="6" t="s">
        <v>120</v>
      </c>
      <c r="F252" s="6" t="s">
        <v>233</v>
      </c>
      <c r="G252" s="1">
        <v>44208</v>
      </c>
      <c r="H252" s="1" t="s">
        <v>124</v>
      </c>
      <c r="I252" s="7">
        <f>IF(H252-G252&gt;(365*5),1,0)</f>
        <v>1</v>
      </c>
      <c r="J252" s="22">
        <v>1</v>
      </c>
      <c r="K252" s="9">
        <f>IF($N252="USD",INDEX('Dólar Spot'!$C:$C,MATCH(Base!$G232,'Dólar Spot'!$A:$A,0)),"")</f>
        <v>2.0377999999999998</v>
      </c>
      <c r="L252" s="8">
        <v>500000000</v>
      </c>
      <c r="M252" s="7">
        <f>IF(N252="USD",L252*K252/1000000,L252/1000000)</f>
        <v>1018.8999999999999</v>
      </c>
      <c r="N252" s="6" t="s">
        <v>16</v>
      </c>
      <c r="O252" s="9" t="str" cm="1">
        <f t="array" ref="O252">INDEX(Ratings!$B$2:$L$42,_xlfn.XMATCH(Base!E232,Ratings!$A$2:$A$42),_xlfn.XMATCH(YEAR(Base!G232),Ratings!$B$1:$L$1))</f>
        <v>BB</v>
      </c>
      <c r="P252">
        <f>IF(AND(O252&lt;&gt;"BBB-",O252&lt;&gt;"BBB",O252&lt;&gt;"BBB+"),0,1)</f>
        <v>0</v>
      </c>
      <c r="Q252" s="7">
        <f>INDEX('Bonds ANBIMA'!$F:$F,MATCH(Base!$B232,'Bonds ANBIMA'!$A:$A,0))</f>
        <v>1597.4311363636366</v>
      </c>
      <c r="R252" s="21">
        <f>INDEX('Bonds ANBIMA'!$H:$H,MATCH(Base!$B232,'Bonds ANBIMA'!$A:$A,0))</f>
        <v>0.81690140845070425</v>
      </c>
      <c r="S252" s="7">
        <f>INDEX('Debêntures ANBIMA'!$O:$O,MATCH(Base!$B232,'Debêntures ANBIMA'!$A:$A,0))</f>
        <v>265.32631578947365</v>
      </c>
      <c r="T252" s="24">
        <f>INDEX('Debêntures ANBIMA'!$P:$P,MATCH(Base!$B232,'Debêntures ANBIMA'!$A:$A,0))</f>
        <v>0.33369039117670396</v>
      </c>
    </row>
    <row r="253" spans="1:20" x14ac:dyDescent="0.35">
      <c r="A253">
        <f>YEAR(B253)</f>
        <v>2017</v>
      </c>
      <c r="B253" s="12">
        <f>DATE(YEAR(G253),MONTH(G253),DAY(1))</f>
        <v>42979</v>
      </c>
      <c r="C253">
        <f>IF(E253&lt;&gt;E252,C252+1,C252)</f>
        <v>30</v>
      </c>
      <c r="D253" s="6" t="s">
        <v>121</v>
      </c>
      <c r="E253" s="6" t="s">
        <v>120</v>
      </c>
      <c r="F253" s="6" t="s">
        <v>233</v>
      </c>
      <c r="G253" s="1">
        <v>42997</v>
      </c>
      <c r="H253" s="1" t="s">
        <v>125</v>
      </c>
      <c r="I253" s="7">
        <f>IF(H253-G253&gt;(365*5),1,0)</f>
        <v>1</v>
      </c>
      <c r="J253" s="22">
        <v>1</v>
      </c>
      <c r="K253" s="9">
        <f>IF($N253="USD",INDEX('Dólar Spot'!$C:$C,MATCH(Base!$G233,'Dólar Spot'!$A:$A,0)),"")</f>
        <v>2.2543000000000002</v>
      </c>
      <c r="L253" s="8">
        <v>500000000</v>
      </c>
      <c r="M253" s="7">
        <f>IF(N253="USD",L253*K253/1000000,L253/1000000)</f>
        <v>1127.1500000000001</v>
      </c>
      <c r="N253" s="6" t="s">
        <v>16</v>
      </c>
      <c r="O253" s="9" t="str" cm="1">
        <f t="array" ref="O253">INDEX(Ratings!$B$2:$L$42,_xlfn.XMATCH(Base!E233,Ratings!$A$2:$A$42),_xlfn.XMATCH(YEAR(Base!G233),Ratings!$B$1:$L$1))</f>
        <v>BB</v>
      </c>
      <c r="P253">
        <f>IF(AND(O253&lt;&gt;"BBB-",O253&lt;&gt;"BBB",O253&lt;&gt;"BBB+"),0,1)</f>
        <v>0</v>
      </c>
      <c r="Q253" s="7">
        <f>INDEX('Bonds ANBIMA'!$F:$F,MATCH(Base!$B233,'Bonds ANBIMA'!$A:$A,0))</f>
        <v>2385.9040014492748</v>
      </c>
      <c r="R253" s="21">
        <f>INDEX('Bonds ANBIMA'!$H:$H,MATCH(Base!$B233,'Bonds ANBIMA'!$A:$A,0))</f>
        <v>0.61224489795918369</v>
      </c>
      <c r="S253" s="7">
        <f>INDEX('Debêntures ANBIMA'!$O:$O,MATCH(Base!$B233,'Debêntures ANBIMA'!$A:$A,0))</f>
        <v>163.828</v>
      </c>
      <c r="T253" s="24">
        <f>INDEX('Debêntures ANBIMA'!$P:$P,MATCH(Base!$B233,'Debêntures ANBIMA'!$A:$A,0))</f>
        <v>0.60531960012117536</v>
      </c>
    </row>
    <row r="254" spans="1:20" x14ac:dyDescent="0.35">
      <c r="A254">
        <f>YEAR(B254)</f>
        <v>2014</v>
      </c>
      <c r="B254" s="12">
        <f>DATE(YEAR(G254),MONTH(G254),DAY(1))</f>
        <v>41821</v>
      </c>
      <c r="C254">
        <f>IF(E254&lt;&gt;E253,C253+1,C253)</f>
        <v>30</v>
      </c>
      <c r="D254" s="6" t="s">
        <v>121</v>
      </c>
      <c r="E254" s="6" t="s">
        <v>120</v>
      </c>
      <c r="F254" s="6" t="s">
        <v>233</v>
      </c>
      <c r="G254" s="1">
        <v>41836</v>
      </c>
      <c r="H254" s="1" t="s">
        <v>126</v>
      </c>
      <c r="I254" s="7">
        <f>IF(H254-G254&gt;(365*5),1,0)</f>
        <v>1</v>
      </c>
      <c r="J254" s="22">
        <v>1</v>
      </c>
      <c r="K254" s="9">
        <f>IF($N254="USD",INDEX('Dólar Spot'!$C:$C,MATCH(Base!$G234,'Dólar Spot'!$A:$A,0)),"")</f>
        <v>2.1997</v>
      </c>
      <c r="L254" s="8">
        <v>500000000</v>
      </c>
      <c r="M254" s="7">
        <f>IF(N254="USD",L254*K254/1000000,L254/1000000)</f>
        <v>1099.8499999999999</v>
      </c>
      <c r="N254" s="6" t="s">
        <v>16</v>
      </c>
      <c r="O254" s="9" t="str" cm="1">
        <f t="array" ref="O254">INDEX(Ratings!$B$2:$L$42,_xlfn.XMATCH(Base!E234,Ratings!$A$2:$A$42),_xlfn.XMATCH(YEAR(Base!G234),Ratings!$B$1:$L$1))</f>
        <v>BB</v>
      </c>
      <c r="P254">
        <f>IF(AND(O254&lt;&gt;"BBB-",O254&lt;&gt;"BBB",O254&lt;&gt;"BBB+"),0,1)</f>
        <v>0</v>
      </c>
      <c r="Q254" s="7">
        <f>INDEX('Bonds ANBIMA'!$F:$F,MATCH(Base!$B234,'Bonds ANBIMA'!$A:$A,0))</f>
        <v>2318.6105608695661</v>
      </c>
      <c r="R254" s="21">
        <f>INDEX('Bonds ANBIMA'!$H:$H,MATCH(Base!$B234,'Bonds ANBIMA'!$A:$A,0))</f>
        <v>0.61224489795918369</v>
      </c>
      <c r="S254" s="7">
        <f>INDEX('Debêntures ANBIMA'!$O:$O,MATCH(Base!$B234,'Debêntures ANBIMA'!$A:$A,0))</f>
        <v>166.30222222222224</v>
      </c>
      <c r="T254" s="24">
        <f>INDEX('Debêntures ANBIMA'!$P:$P,MATCH(Base!$B234,'Debêntures ANBIMA'!$A:$A,0))</f>
        <v>0.80152212601508743</v>
      </c>
    </row>
    <row r="255" spans="1:20" x14ac:dyDescent="0.35">
      <c r="A255">
        <f>YEAR(B255)</f>
        <v>2020</v>
      </c>
      <c r="B255" s="12">
        <f>DATE(YEAR(G255),MONTH(G255),DAY(1))</f>
        <v>43831</v>
      </c>
      <c r="C255">
        <f>IF(E255&lt;&gt;E254,C254+1,C254)</f>
        <v>30</v>
      </c>
      <c r="D255" s="6" t="s">
        <v>121</v>
      </c>
      <c r="E255" s="6" t="s">
        <v>120</v>
      </c>
      <c r="F255" s="6" t="s">
        <v>233</v>
      </c>
      <c r="G255" s="1">
        <v>43851</v>
      </c>
      <c r="H255" s="1" t="s">
        <v>122</v>
      </c>
      <c r="I255" s="7">
        <f>IF(H255-G255&gt;(365*5),1,0)</f>
        <v>1</v>
      </c>
      <c r="J255" s="22">
        <v>1</v>
      </c>
      <c r="K255" s="9" t="e">
        <f>IF($N255="USD",INDEX('Dólar Spot'!$C:$C,MATCH(Base!$G235,'Dólar Spot'!$A:$A,0)),"")</f>
        <v>#N/A</v>
      </c>
      <c r="L255" s="8">
        <v>200000000</v>
      </c>
      <c r="M255" s="7" t="e">
        <f>IF(N255="USD",L255*K255/1000000,L255/1000000)</f>
        <v>#N/A</v>
      </c>
      <c r="N255" s="6" t="s">
        <v>16</v>
      </c>
      <c r="O255" s="9" t="str" cm="1">
        <f t="array" ref="O255">INDEX(Ratings!$B$2:$L$42,_xlfn.XMATCH(Base!E235,Ratings!$A$2:$A$42),_xlfn.XMATCH(YEAR(Base!G235),Ratings!$B$1:$L$1))</f>
        <v>BB</v>
      </c>
      <c r="P255">
        <f>IF(AND(O255&lt;&gt;"BBB-",O255&lt;&gt;"BBB",O255&lt;&gt;"BBB+"),0,1)</f>
        <v>0</v>
      </c>
      <c r="Q255" s="7">
        <f>INDEX('Bonds ANBIMA'!$F:$F,MATCH(Base!$B235,'Bonds ANBIMA'!$A:$A,0))</f>
        <v>1952.3304406451612</v>
      </c>
      <c r="R255" s="21">
        <f>INDEX('Bonds ANBIMA'!$H:$H,MATCH(Base!$B235,'Bonds ANBIMA'!$A:$A,0))</f>
        <v>0.7592592592592593</v>
      </c>
      <c r="S255" s="7">
        <f>INDEX('Debêntures ANBIMA'!$O:$O,MATCH(Base!$B235,'Debêntures ANBIMA'!$A:$A,0))</f>
        <v>1225.43</v>
      </c>
      <c r="T255" s="24">
        <f>INDEX('Debêntures ANBIMA'!$P:$P,MATCH(Base!$B235,'Debêntures ANBIMA'!$A:$A,0))</f>
        <v>0.93229370867656214</v>
      </c>
    </row>
    <row r="256" spans="1:20" x14ac:dyDescent="0.35">
      <c r="A256">
        <f>YEAR(B256)</f>
        <v>2019</v>
      </c>
      <c r="B256" s="12">
        <f>DATE(YEAR(G256),MONTH(G256),DAY(1))</f>
        <v>43647</v>
      </c>
      <c r="C256">
        <f>IF(E256&lt;&gt;E255,C255+1,C255)</f>
        <v>30</v>
      </c>
      <c r="D256" s="6" t="s">
        <v>121</v>
      </c>
      <c r="E256" s="6" t="s">
        <v>120</v>
      </c>
      <c r="F256" s="6" t="s">
        <v>233</v>
      </c>
      <c r="G256" s="1">
        <v>43657</v>
      </c>
      <c r="H256" s="1" t="s">
        <v>123</v>
      </c>
      <c r="I256" s="7">
        <f>IF(H256-G256&gt;(365*5),1,0)</f>
        <v>1</v>
      </c>
      <c r="J256" s="22">
        <v>1</v>
      </c>
      <c r="K256" s="9">
        <f>IF($N256="USD",INDEX('Dólar Spot'!$C:$C,MATCH(Base!$G236,'Dólar Spot'!$A:$A,0)),"")</f>
        <v>2.6711</v>
      </c>
      <c r="L256" s="8">
        <v>250000000</v>
      </c>
      <c r="M256" s="7">
        <f>IF(N256="USD",L256*K256/1000000,L256/1000000)</f>
        <v>667.77499999999998</v>
      </c>
      <c r="N256" s="6" t="s">
        <v>16</v>
      </c>
      <c r="O256" s="9" t="str" cm="1">
        <f t="array" ref="O256">INDEX(Ratings!$B$2:$L$42,_xlfn.XMATCH(Base!E236,Ratings!$A$2:$A$42),_xlfn.XMATCH(YEAR(Base!G236),Ratings!$B$1:$L$1))</f>
        <v>BB</v>
      </c>
      <c r="P256">
        <f>IF(AND(O256&lt;&gt;"BBB-",O256&lt;&gt;"BBB",O256&lt;&gt;"BBB+"),0,1)</f>
        <v>0</v>
      </c>
      <c r="Q256" s="7">
        <f>INDEX('Bonds ANBIMA'!$F:$F,MATCH(Base!$B236,'Bonds ANBIMA'!$A:$A,0))</f>
        <v>2305.1490149560118</v>
      </c>
      <c r="R256" s="21">
        <f>INDEX('Bonds ANBIMA'!$H:$H,MATCH(Base!$B236,'Bonds ANBIMA'!$A:$A,0))</f>
        <v>0.7592592592592593</v>
      </c>
      <c r="S256" s="7">
        <f>INDEX('Debêntures ANBIMA'!$O:$O,MATCH(Base!$B236,'Debêntures ANBIMA'!$A:$A,0))</f>
        <v>173.79140893333334</v>
      </c>
      <c r="T256" s="24">
        <f>INDEX('Debêntures ANBIMA'!$P:$P,MATCH(Base!$B236,'Debêntures ANBIMA'!$A:$A,0))</f>
        <v>0.58460646271963723</v>
      </c>
    </row>
    <row r="257" spans="1:20" x14ac:dyDescent="0.35">
      <c r="A257">
        <f>YEAR(B257)</f>
        <v>2019</v>
      </c>
      <c r="B257" s="12">
        <f>DATE(YEAR(G257),MONTH(G257),DAY(1))</f>
        <v>43525</v>
      </c>
      <c r="C257">
        <f>IF(E257&lt;&gt;E256,C256+1,C256)</f>
        <v>30</v>
      </c>
      <c r="D257" s="6" t="s">
        <v>321</v>
      </c>
      <c r="E257" s="6" t="s">
        <v>120</v>
      </c>
      <c r="F257" s="6" t="s">
        <v>346</v>
      </c>
      <c r="G257" s="1">
        <v>43543</v>
      </c>
      <c r="H257" s="1">
        <v>47196</v>
      </c>
      <c r="I257" s="7">
        <f>IF(H257-G257&gt;(365*5),1,0)</f>
        <v>1</v>
      </c>
      <c r="J257" s="6">
        <v>1</v>
      </c>
      <c r="K257" s="9" t="str">
        <f>IF($N257="USD",INDEX('Dólar Spot'!$C:$C,MATCH(Base!$G237,'Dólar Spot'!$A:$A,0)),"")</f>
        <v/>
      </c>
      <c r="L257" s="8">
        <v>1000000000</v>
      </c>
      <c r="M257" s="7">
        <f>IF(N257="USD",L257*K257/1000000,L257/1000000)</f>
        <v>1000</v>
      </c>
      <c r="N257" s="6" t="s">
        <v>348</v>
      </c>
      <c r="O257" s="9" t="str" cm="1">
        <f t="array" ref="O257">INDEX(Ratings!$B$2:$L$42,_xlfn.XMATCH(Base!E237,Ratings!$A$2:$A$42),_xlfn.XMATCH(YEAR(Base!G237),Ratings!$B$1:$L$1))</f>
        <v>BB</v>
      </c>
      <c r="P257">
        <f>IF(AND(O257&lt;&gt;"BBB-",O257&lt;&gt;"BBB",O257&lt;&gt;"BBB+"),0,1)</f>
        <v>0</v>
      </c>
      <c r="Q257" s="7">
        <f>INDEX('Bonds ANBIMA'!$F:$F,MATCH(Base!$B237,'Bonds ANBIMA'!$A:$A,0))</f>
        <v>2385.9040014492748</v>
      </c>
      <c r="R257" s="21">
        <f>INDEX('Bonds ANBIMA'!$H:$H,MATCH(Base!$B237,'Bonds ANBIMA'!$A:$A,0))</f>
        <v>0.61224489795918369</v>
      </c>
      <c r="S257" s="7">
        <f>INDEX('Debêntures ANBIMA'!$O:$O,MATCH(Base!$B237,'Debêntures ANBIMA'!$A:$A,0))</f>
        <v>163.828</v>
      </c>
      <c r="T257" s="24">
        <f>INDEX('Debêntures ANBIMA'!$P:$P,MATCH(Base!$B237,'Debêntures ANBIMA'!$A:$A,0))</f>
        <v>0.60531960012117536</v>
      </c>
    </row>
    <row r="258" spans="1:20" x14ac:dyDescent="0.35">
      <c r="A258">
        <f>YEAR(B258)</f>
        <v>2011</v>
      </c>
      <c r="B258" s="12">
        <f>DATE(YEAR(G258),MONTH(G258),DAY(1))</f>
        <v>40634</v>
      </c>
      <c r="C258">
        <f>IF(E258&lt;&gt;E257,C257+1,C257)</f>
        <v>31</v>
      </c>
      <c r="D258" s="6" t="s">
        <v>322</v>
      </c>
      <c r="E258" s="6" t="s">
        <v>127</v>
      </c>
      <c r="F258" s="6" t="s">
        <v>346</v>
      </c>
      <c r="G258" s="1">
        <v>40643</v>
      </c>
      <c r="H258" s="1">
        <v>41985</v>
      </c>
      <c r="I258" s="7">
        <f>IF(H258-G258&gt;(365*5),1,0)</f>
        <v>0</v>
      </c>
      <c r="J258" s="22">
        <v>1</v>
      </c>
      <c r="K258" s="9" t="str">
        <f>IF($N258="USD",INDEX('Dólar Spot'!$C:$C,MATCH(Base!$G240,'Dólar Spot'!$A:$A,0)),"")</f>
        <v/>
      </c>
      <c r="L258" s="8">
        <v>170000000</v>
      </c>
      <c r="M258" s="7">
        <f>IF(N258="USD",L258*K258/1000000,L258/1000000)</f>
        <v>170</v>
      </c>
      <c r="N258" s="6" t="s">
        <v>348</v>
      </c>
      <c r="O258" s="9" t="str" cm="1">
        <f t="array" ref="O258">INDEX(Ratings!$B$2:$L$42,_xlfn.XMATCH(Base!E240,Ratings!$A$2:$A$42),_xlfn.XMATCH(YEAR(Base!G240),Ratings!$B$1:$L$1))</f>
        <v>BB</v>
      </c>
      <c r="P258">
        <f>IF(AND(O258&lt;&gt;"BBB-",O258&lt;&gt;"BBB",O258&lt;&gt;"BBB+"),0,1)</f>
        <v>0</v>
      </c>
      <c r="Q258" s="7">
        <f>INDEX('Bonds ANBIMA'!$F:$F,MATCH(Base!$B240,'Bonds ANBIMA'!$A:$A,0))</f>
        <v>2385.9040014492748</v>
      </c>
      <c r="R258" s="21">
        <f>INDEX('Bonds ANBIMA'!$H:$H,MATCH(Base!$B240,'Bonds ANBIMA'!$A:$A,0))</f>
        <v>0.61224489795918369</v>
      </c>
      <c r="S258" s="7">
        <f>INDEX('Debêntures ANBIMA'!$O:$O,MATCH(Base!$B240,'Debêntures ANBIMA'!$A:$A,0))</f>
        <v>163.828</v>
      </c>
      <c r="T258" s="24">
        <f>INDEX('Debêntures ANBIMA'!$P:$P,MATCH(Base!$B240,'Debêntures ANBIMA'!$A:$A,0))</f>
        <v>0.60531960012117536</v>
      </c>
    </row>
    <row r="259" spans="1:20" x14ac:dyDescent="0.35">
      <c r="A259">
        <f>YEAR(B259)</f>
        <v>2016</v>
      </c>
      <c r="B259" s="12">
        <f>DATE(YEAR(G259),MONTH(G259),DAY(1))</f>
        <v>42675</v>
      </c>
      <c r="C259">
        <f>IF(E259&lt;&gt;E258,C258+1,C258)</f>
        <v>31</v>
      </c>
      <c r="D259" s="6" t="s">
        <v>322</v>
      </c>
      <c r="E259" s="6" t="s">
        <v>127</v>
      </c>
      <c r="F259" s="6" t="s">
        <v>346</v>
      </c>
      <c r="G259" s="1">
        <v>42690</v>
      </c>
      <c r="H259" s="1">
        <v>43055</v>
      </c>
      <c r="I259" s="7">
        <f>IF(H259-G259&gt;(365*5),1,0)</f>
        <v>0</v>
      </c>
      <c r="J259" s="22">
        <v>1</v>
      </c>
      <c r="K259" s="9" t="str">
        <f>IF($N259="USD",INDEX('Dólar Spot'!$C:$C,MATCH(Base!$G241,'Dólar Spot'!$A:$A,0)),"")</f>
        <v/>
      </c>
      <c r="L259" s="8">
        <v>100000000</v>
      </c>
      <c r="M259" s="7">
        <f>IF(N259="USD",L259*K259/1000000,L259/1000000)</f>
        <v>100</v>
      </c>
      <c r="N259" s="6" t="s">
        <v>348</v>
      </c>
      <c r="O259" s="9" t="str" cm="1">
        <f t="array" ref="O259">INDEX(Ratings!$B$2:$L$42,_xlfn.XMATCH(Base!E241,Ratings!$A$2:$A$42),_xlfn.XMATCH(YEAR(Base!G241),Ratings!$B$1:$L$1))</f>
        <v>BB</v>
      </c>
      <c r="P259">
        <f>IF(AND(O259&lt;&gt;"BBB-",O259&lt;&gt;"BBB",O259&lt;&gt;"BBB+"),0,1)</f>
        <v>0</v>
      </c>
      <c r="Q259" s="7">
        <f>INDEX('Bonds ANBIMA'!$F:$F,MATCH(Base!$B241,'Bonds ANBIMA'!$A:$A,0))</f>
        <v>1952.3304406451612</v>
      </c>
      <c r="R259" s="21">
        <f>INDEX('Bonds ANBIMA'!$H:$H,MATCH(Base!$B241,'Bonds ANBIMA'!$A:$A,0))</f>
        <v>0.7592592592592593</v>
      </c>
      <c r="S259" s="7">
        <f>INDEX('Debêntures ANBIMA'!$O:$O,MATCH(Base!$B241,'Debêntures ANBIMA'!$A:$A,0))</f>
        <v>1225.43</v>
      </c>
      <c r="T259" s="24">
        <f>INDEX('Debêntures ANBIMA'!$P:$P,MATCH(Base!$B241,'Debêntures ANBIMA'!$A:$A,0))</f>
        <v>0.93229370867656214</v>
      </c>
    </row>
    <row r="260" spans="1:20" x14ac:dyDescent="0.35">
      <c r="A260">
        <f>YEAR(B260)</f>
        <v>2017</v>
      </c>
      <c r="B260" s="12">
        <f>DATE(YEAR(G260),MONTH(G260),DAY(1))</f>
        <v>42826</v>
      </c>
      <c r="C260">
        <f>IF(E260&lt;&gt;E259,C259+1,C259)</f>
        <v>31</v>
      </c>
      <c r="D260" s="6" t="s">
        <v>322</v>
      </c>
      <c r="E260" s="6" t="s">
        <v>127</v>
      </c>
      <c r="F260" s="6" t="s">
        <v>346</v>
      </c>
      <c r="G260" s="1">
        <v>42845</v>
      </c>
      <c r="H260" s="1">
        <v>43373</v>
      </c>
      <c r="I260" s="7">
        <f>IF(H260-G260&gt;(365*5),1,0)</f>
        <v>0</v>
      </c>
      <c r="J260" s="22">
        <v>1</v>
      </c>
      <c r="K260" s="9" t="str">
        <f>IF($N260="USD",INDEX('Dólar Spot'!$C:$C,MATCH(Base!$G242,'Dólar Spot'!$A:$A,0)),"")</f>
        <v/>
      </c>
      <c r="L260" s="8">
        <v>150000000</v>
      </c>
      <c r="M260" s="7">
        <f>IF(N260="USD",L260*K260/1000000,L260/1000000)</f>
        <v>150</v>
      </c>
      <c r="N260" s="6" t="s">
        <v>348</v>
      </c>
      <c r="O260" s="9" t="str" cm="1">
        <f t="array" ref="O260">INDEX(Ratings!$B$2:$L$42,_xlfn.XMATCH(Base!E242,Ratings!$A$2:$A$42),_xlfn.XMATCH(YEAR(Base!G242),Ratings!$B$1:$L$1))</f>
        <v>BB</v>
      </c>
      <c r="P260">
        <f>IF(AND(O260&lt;&gt;"BBB-",O260&lt;&gt;"BBB",O260&lt;&gt;"BBB+"),0,1)</f>
        <v>0</v>
      </c>
      <c r="Q260" s="7">
        <f>INDEX('Bonds ANBIMA'!$F:$F,MATCH(Base!$B242,'Bonds ANBIMA'!$A:$A,0))</f>
        <v>1153.1683333333333</v>
      </c>
      <c r="R260" s="21">
        <f>INDEX('Bonds ANBIMA'!$H:$H,MATCH(Base!$B242,'Bonds ANBIMA'!$A:$A,0))</f>
        <v>0.88235294117647056</v>
      </c>
      <c r="S260" s="7">
        <f>INDEX('Debêntures ANBIMA'!$O:$O,MATCH(Base!$B242,'Debêntures ANBIMA'!$A:$A,0))</f>
        <v>220.95972972972973</v>
      </c>
      <c r="T260" s="24">
        <f>INDEX('Debêntures ANBIMA'!$P:$P,MATCH(Base!$B242,'Debêntures ANBIMA'!$A:$A,0))</f>
        <v>0.58100953466689709</v>
      </c>
    </row>
    <row r="261" spans="1:20" x14ac:dyDescent="0.35">
      <c r="A261">
        <f>YEAR(B261)</f>
        <v>2017</v>
      </c>
      <c r="B261" s="12">
        <f>DATE(YEAR(G261),MONTH(G261),DAY(1))</f>
        <v>43040</v>
      </c>
      <c r="C261">
        <f>IF(E261&lt;&gt;E260,C260+1,C260)</f>
        <v>31</v>
      </c>
      <c r="D261" s="6" t="s">
        <v>322</v>
      </c>
      <c r="E261" s="6" t="s">
        <v>127</v>
      </c>
      <c r="F261" s="6" t="s">
        <v>346</v>
      </c>
      <c r="G261" s="1">
        <v>43063</v>
      </c>
      <c r="H261" s="1">
        <v>43793</v>
      </c>
      <c r="I261" s="7">
        <f>IF(H261-G261&gt;(365*5),1,0)</f>
        <v>0</v>
      </c>
      <c r="J261" s="22">
        <v>1</v>
      </c>
      <c r="K261" s="9" t="str">
        <f>IF($N261="USD",INDEX('Dólar Spot'!$C:$C,MATCH(Base!$G243,'Dólar Spot'!$A:$A,0)),"")</f>
        <v/>
      </c>
      <c r="L261" s="8">
        <v>100000000</v>
      </c>
      <c r="M261" s="7">
        <f>IF(N261="USD",L261*K261/1000000,L261/1000000)</f>
        <v>100</v>
      </c>
      <c r="N261" s="6" t="s">
        <v>348</v>
      </c>
      <c r="O261" s="9" t="str" cm="1">
        <f t="array" ref="O261">INDEX(Ratings!$B$2:$L$42,_xlfn.XMATCH(Base!E243,Ratings!$A$2:$A$42),_xlfn.XMATCH(YEAR(Base!G243),Ratings!$B$1:$L$1))</f>
        <v>BB</v>
      </c>
      <c r="P261">
        <f>IF(AND(O261&lt;&gt;"BBB-",O261&lt;&gt;"BBB",O261&lt;&gt;"BBB+"),0,1)</f>
        <v>0</v>
      </c>
      <c r="Q261" s="7">
        <f>INDEX('Bonds ANBIMA'!$F:$F,MATCH(Base!$B243,'Bonds ANBIMA'!$A:$A,0))</f>
        <v>0</v>
      </c>
      <c r="R261" s="21">
        <f>INDEX('Bonds ANBIMA'!$H:$H,MATCH(Base!$B243,'Bonds ANBIMA'!$A:$A,0))</f>
        <v>0.77272727272727271</v>
      </c>
      <c r="S261" s="7">
        <f>INDEX('Debêntures ANBIMA'!$O:$O,MATCH(Base!$B243,'Debêntures ANBIMA'!$A:$A,0))</f>
        <v>269.61020408163267</v>
      </c>
      <c r="T261" s="24">
        <f>INDEX('Debêntures ANBIMA'!$P:$P,MATCH(Base!$B243,'Debêntures ANBIMA'!$A:$A,0))</f>
        <v>0.83474381293078714</v>
      </c>
    </row>
    <row r="262" spans="1:20" x14ac:dyDescent="0.35">
      <c r="A262">
        <f>YEAR(B262)</f>
        <v>2021</v>
      </c>
      <c r="B262" s="12">
        <f>DATE(YEAR(G262),MONTH(G262),DAY(1))</f>
        <v>44378</v>
      </c>
      <c r="C262">
        <f>IF(E262&lt;&gt;E261,C261+1,C261)</f>
        <v>31</v>
      </c>
      <c r="D262" s="6" t="s">
        <v>322</v>
      </c>
      <c r="E262" s="6" t="s">
        <v>127</v>
      </c>
      <c r="F262" s="6" t="s">
        <v>346</v>
      </c>
      <c r="G262" s="1">
        <v>44392</v>
      </c>
      <c r="H262" s="1">
        <v>46949</v>
      </c>
      <c r="I262" s="7">
        <f>IF(H262-G262&gt;(365*5),1,0)</f>
        <v>1</v>
      </c>
      <c r="J262" s="22">
        <v>1</v>
      </c>
      <c r="K262" s="9" t="str">
        <f>IF($N262="USD",INDEX('Dólar Spot'!$C:$C,MATCH(Base!$G244,'Dólar Spot'!$A:$A,0)),"")</f>
        <v/>
      </c>
      <c r="L262" s="8">
        <v>400000000</v>
      </c>
      <c r="M262" s="7">
        <f>IF(N262="USD",L262*K262/1000000,L262/1000000)</f>
        <v>400</v>
      </c>
      <c r="N262" s="6" t="s">
        <v>347</v>
      </c>
      <c r="O262" s="9" t="str" cm="1">
        <f t="array" ref="O262">INDEX(Ratings!$B$2:$L$42,_xlfn.XMATCH(Base!E244,Ratings!$A$2:$A$42),_xlfn.XMATCH(YEAR(Base!G244),Ratings!$B$1:$L$1))</f>
        <v>BB</v>
      </c>
      <c r="P262">
        <f>IF(AND(O262&lt;&gt;"BBB-",O262&lt;&gt;"BBB",O262&lt;&gt;"BBB+"),0,1)</f>
        <v>0</v>
      </c>
      <c r="Q262" s="7">
        <f>INDEX('Bonds ANBIMA'!$F:$F,MATCH(Base!$B244,'Bonds ANBIMA'!$A:$A,0))</f>
        <v>1000.2295454545454</v>
      </c>
      <c r="R262" s="21">
        <f>INDEX('Bonds ANBIMA'!$H:$H,MATCH(Base!$B244,'Bonds ANBIMA'!$A:$A,0))</f>
        <v>0.84615384615384615</v>
      </c>
      <c r="S262" s="7">
        <f>INDEX('Debêntures ANBIMA'!$O:$O,MATCH(Base!$B244,'Debêntures ANBIMA'!$A:$A,0))</f>
        <v>326.08475806451617</v>
      </c>
      <c r="T262" s="24">
        <f>INDEX('Debêntures ANBIMA'!$P:$P,MATCH(Base!$B244,'Debêntures ANBIMA'!$A:$A,0))</f>
        <v>0.72465429019647709</v>
      </c>
    </row>
    <row r="263" spans="1:20" x14ac:dyDescent="0.35">
      <c r="A263">
        <f>YEAR(B263)</f>
        <v>2021</v>
      </c>
      <c r="B263" s="12">
        <f>DATE(YEAR(G263),MONTH(G263),DAY(1))</f>
        <v>44378</v>
      </c>
      <c r="C263">
        <f>IF(E263&lt;&gt;E262,C262+1,C262)</f>
        <v>31</v>
      </c>
      <c r="D263" s="6" t="s">
        <v>322</v>
      </c>
      <c r="E263" s="6" t="s">
        <v>127</v>
      </c>
      <c r="F263" s="6" t="s">
        <v>346</v>
      </c>
      <c r="G263" s="1">
        <v>44392</v>
      </c>
      <c r="H263" s="1">
        <v>46949</v>
      </c>
      <c r="I263" s="7">
        <f>IF(H263-G263&gt;(365*5),1,0)</f>
        <v>1</v>
      </c>
      <c r="J263" s="22">
        <v>1</v>
      </c>
      <c r="K263" s="9" t="str">
        <f>IF($N263="USD",INDEX('Dólar Spot'!$C:$C,MATCH(Base!$G245,'Dólar Spot'!$A:$A,0)),"")</f>
        <v/>
      </c>
      <c r="L263" s="8">
        <v>100000000</v>
      </c>
      <c r="M263" s="7">
        <f>IF(N263="USD",L263*K263/1000000,L263/1000000)</f>
        <v>100</v>
      </c>
      <c r="N263" s="6" t="s">
        <v>347</v>
      </c>
      <c r="O263" s="9" t="str" cm="1">
        <f t="array" ref="O263">INDEX(Ratings!$B$2:$L$42,_xlfn.XMATCH(Base!E245,Ratings!$A$2:$A$42),_xlfn.XMATCH(YEAR(Base!G245),Ratings!$B$1:$L$1))</f>
        <v>BB</v>
      </c>
      <c r="P263">
        <f>IF(AND(O263&lt;&gt;"BBB-",O263&lt;&gt;"BBB",O263&lt;&gt;"BBB+"),0,1)</f>
        <v>0</v>
      </c>
      <c r="Q263" s="7">
        <f>INDEX('Bonds ANBIMA'!$F:$F,MATCH(Base!$B245,'Bonds ANBIMA'!$A:$A,0))</f>
        <v>7893.9774999999981</v>
      </c>
      <c r="R263" s="21">
        <f>INDEX('Bonds ANBIMA'!$H:$H,MATCH(Base!$B245,'Bonds ANBIMA'!$A:$A,0))</f>
        <v>0.83870967741935487</v>
      </c>
      <c r="S263" s="7">
        <f>INDEX('Debêntures ANBIMA'!$O:$O,MATCH(Base!$B245,'Debêntures ANBIMA'!$A:$A,0))</f>
        <v>292.23871243636364</v>
      </c>
      <c r="T263" s="24">
        <f>INDEX('Debêntures ANBIMA'!$P:$P,MATCH(Base!$B245,'Debêntures ANBIMA'!$A:$A,0))</f>
        <v>0.87974551685015945</v>
      </c>
    </row>
    <row r="264" spans="1:20" x14ac:dyDescent="0.35">
      <c r="A264">
        <f>YEAR(B264)</f>
        <v>2011</v>
      </c>
      <c r="B264" s="12">
        <f>DATE(YEAR(G264),MONTH(G264),DAY(1))</f>
        <v>40878</v>
      </c>
      <c r="C264">
        <f>IF(E264&lt;&gt;E263,C263+1,C263)</f>
        <v>31</v>
      </c>
      <c r="D264" s="6" t="s">
        <v>322</v>
      </c>
      <c r="E264" s="6" t="s">
        <v>127</v>
      </c>
      <c r="F264" s="6" t="s">
        <v>346</v>
      </c>
      <c r="G264" s="1">
        <v>40906</v>
      </c>
      <c r="H264" s="1">
        <v>43696</v>
      </c>
      <c r="I264" s="7">
        <f>IF(H264-G264&gt;(365*5),1,0)</f>
        <v>1</v>
      </c>
      <c r="J264" s="22">
        <v>1</v>
      </c>
      <c r="K264" s="9" t="str">
        <f>IF($N264="USD",INDEX('Dólar Spot'!$C:$C,MATCH(Base!$G246,'Dólar Spot'!$A:$A,0)),"")</f>
        <v/>
      </c>
      <c r="L264" s="8">
        <v>425000000</v>
      </c>
      <c r="M264" s="7">
        <f>IF(N264="USD",L264*K264/1000000,L264/1000000)</f>
        <v>425</v>
      </c>
      <c r="N264" s="6" t="s">
        <v>348</v>
      </c>
      <c r="O264" s="9" t="str" cm="1">
        <f t="array" ref="O264">INDEX(Ratings!$B$2:$L$42,_xlfn.XMATCH(Base!E246,Ratings!$A$2:$A$42),_xlfn.XMATCH(YEAR(Base!G246),Ratings!$B$1:$L$1))</f>
        <v>BB-</v>
      </c>
      <c r="P264">
        <f>IF(AND(O264&lt;&gt;"BBB-",O264&lt;&gt;"BBB",O264&lt;&gt;"BBB+"),0,1)</f>
        <v>0</v>
      </c>
      <c r="Q264" s="7">
        <f>INDEX('Bonds ANBIMA'!$F:$F,MATCH(Base!$B246,'Bonds ANBIMA'!$A:$A,0))</f>
        <v>2639.5452380952379</v>
      </c>
      <c r="R264" s="21">
        <f>INDEX('Bonds ANBIMA'!$H:$H,MATCH(Base!$B246,'Bonds ANBIMA'!$A:$A,0))</f>
        <v>0.75</v>
      </c>
      <c r="S264" s="7">
        <f>INDEX('Debêntures ANBIMA'!$O:$O,MATCH(Base!$B246,'Debêntures ANBIMA'!$A:$A,0))</f>
        <v>333.94772061764706</v>
      </c>
      <c r="T264" s="24">
        <f>INDEX('Debêntures ANBIMA'!$P:$P,MATCH(Base!$B246,'Debêntures ANBIMA'!$A:$A,0))</f>
        <v>0.70859317355091667</v>
      </c>
    </row>
    <row r="265" spans="1:20" x14ac:dyDescent="0.35">
      <c r="A265">
        <f>YEAR(B265)</f>
        <v>2021</v>
      </c>
      <c r="B265" s="12">
        <f>DATE(YEAR(G265),MONTH(G265),DAY(1))</f>
        <v>44197</v>
      </c>
      <c r="C265">
        <f>IF(E265&lt;&gt;E264,C264+1,C264)</f>
        <v>31</v>
      </c>
      <c r="D265" s="6" t="s">
        <v>323</v>
      </c>
      <c r="E265" s="6" t="s">
        <v>127</v>
      </c>
      <c r="F265" s="6" t="s">
        <v>346</v>
      </c>
      <c r="G265" s="1">
        <v>44211</v>
      </c>
      <c r="H265" s="1">
        <v>45672</v>
      </c>
      <c r="I265" s="7">
        <f>IF(H265-G265&gt;(365*5),1,0)</f>
        <v>0</v>
      </c>
      <c r="J265" s="22">
        <v>1</v>
      </c>
      <c r="K265" s="9" t="str">
        <f>IF($N265="USD",INDEX('Dólar Spot'!$C:$C,MATCH(Base!$G247,'Dólar Spot'!$A:$A,0)),"")</f>
        <v/>
      </c>
      <c r="L265" s="8">
        <v>360000000</v>
      </c>
      <c r="M265" s="7">
        <f>IF(N265="USD",L265*K265/1000000,L265/1000000)</f>
        <v>360</v>
      </c>
      <c r="N265" s="6" t="s">
        <v>348</v>
      </c>
      <c r="O265" s="9" t="str" cm="1">
        <f t="array" ref="O265">INDEX(Ratings!$B$2:$L$42,_xlfn.XMATCH(Base!E247,Ratings!$A$2:$A$42),_xlfn.XMATCH(YEAR(Base!G247),Ratings!$B$1:$L$1))</f>
        <v>BB</v>
      </c>
      <c r="P265">
        <f>IF(AND(O265&lt;&gt;"BBB-",O265&lt;&gt;"BBB",O265&lt;&gt;"BBB+"),0,1)</f>
        <v>0</v>
      </c>
      <c r="Q265" s="7">
        <f>INDEX('Bonds ANBIMA'!$F:$F,MATCH(Base!$B247,'Bonds ANBIMA'!$A:$A,0))</f>
        <v>1000.2295454545454</v>
      </c>
      <c r="R265" s="21">
        <f>INDEX('Bonds ANBIMA'!$H:$H,MATCH(Base!$B247,'Bonds ANBIMA'!$A:$A,0))</f>
        <v>0.84615384615384615</v>
      </c>
      <c r="S265" s="7">
        <f>INDEX('Debêntures ANBIMA'!$O:$O,MATCH(Base!$B247,'Debêntures ANBIMA'!$A:$A,0))</f>
        <v>326.08475806451617</v>
      </c>
      <c r="T265" s="24">
        <f>INDEX('Debêntures ANBIMA'!$P:$P,MATCH(Base!$B247,'Debêntures ANBIMA'!$A:$A,0))</f>
        <v>0.72465429019647709</v>
      </c>
    </row>
    <row r="266" spans="1:20" x14ac:dyDescent="0.35">
      <c r="A266">
        <f>YEAR(B266)</f>
        <v>2016</v>
      </c>
      <c r="B266" s="12">
        <f>DATE(YEAR(G266),MONTH(G266),DAY(1))</f>
        <v>42522</v>
      </c>
      <c r="C266">
        <f>IF(E266&lt;&gt;E265,C265+1,C265)</f>
        <v>31</v>
      </c>
      <c r="D266" s="6" t="s">
        <v>323</v>
      </c>
      <c r="E266" s="6" t="s">
        <v>127</v>
      </c>
      <c r="F266" s="6" t="s">
        <v>346</v>
      </c>
      <c r="G266" s="1">
        <v>42534</v>
      </c>
      <c r="H266" s="1">
        <v>43264</v>
      </c>
      <c r="I266" s="7">
        <f>IF(H266-G266&gt;(365*5),1,0)</f>
        <v>0</v>
      </c>
      <c r="J266" s="22">
        <v>1</v>
      </c>
      <c r="K266" s="9" t="str">
        <f>IF($N266="USD",INDEX('Dólar Spot'!$C:$C,MATCH(Base!$G248,'Dólar Spot'!$A:$A,0)),"")</f>
        <v/>
      </c>
      <c r="L266" s="8">
        <v>175000000</v>
      </c>
      <c r="M266" s="7">
        <f>IF(N266="USD",L266*K266/1000000,L266/1000000)</f>
        <v>175</v>
      </c>
      <c r="N266" s="6" t="s">
        <v>348</v>
      </c>
      <c r="O266" s="9" t="str" cm="1">
        <f t="array" ref="O266">INDEX(Ratings!$B$2:$L$42,_xlfn.XMATCH(Base!E248,Ratings!$A$2:$A$42),_xlfn.XMATCH(YEAR(Base!G248),Ratings!$B$1:$L$1))</f>
        <v>BB-</v>
      </c>
      <c r="P266">
        <f>IF(AND(O266&lt;&gt;"BBB-",O266&lt;&gt;"BBB",O266&lt;&gt;"BBB+"),0,1)</f>
        <v>0</v>
      </c>
      <c r="Q266" s="7">
        <f>INDEX('Bonds ANBIMA'!$F:$F,MATCH(Base!$B248,'Bonds ANBIMA'!$A:$A,0))</f>
        <v>2639.5452380952379</v>
      </c>
      <c r="R266" s="21">
        <f>INDEX('Bonds ANBIMA'!$H:$H,MATCH(Base!$B248,'Bonds ANBIMA'!$A:$A,0))</f>
        <v>0.75</v>
      </c>
      <c r="S266" s="7">
        <f>INDEX('Debêntures ANBIMA'!$O:$O,MATCH(Base!$B248,'Debêntures ANBIMA'!$A:$A,0))</f>
        <v>333.94772061764706</v>
      </c>
      <c r="T266" s="24">
        <f>INDEX('Debêntures ANBIMA'!$P:$P,MATCH(Base!$B248,'Debêntures ANBIMA'!$A:$A,0))</f>
        <v>0.70859317355091667</v>
      </c>
    </row>
    <row r="267" spans="1:20" x14ac:dyDescent="0.35">
      <c r="A267">
        <f>YEAR(B267)</f>
        <v>2017</v>
      </c>
      <c r="B267" s="12">
        <f>DATE(YEAR(G267),MONTH(G267),DAY(1))</f>
        <v>42917</v>
      </c>
      <c r="C267">
        <f>IF(E267&lt;&gt;E266,C266+1,C266)</f>
        <v>31</v>
      </c>
      <c r="D267" s="6" t="s">
        <v>323</v>
      </c>
      <c r="E267" s="6" t="s">
        <v>127</v>
      </c>
      <c r="F267" s="6" t="s">
        <v>346</v>
      </c>
      <c r="G267" s="1">
        <v>42923</v>
      </c>
      <c r="H267" s="1">
        <v>43480</v>
      </c>
      <c r="I267" s="7">
        <f>IF(H267-G267&gt;(365*5),1,0)</f>
        <v>0</v>
      </c>
      <c r="J267" s="22">
        <v>1</v>
      </c>
      <c r="K267" s="9" t="str">
        <f>IF($N267="USD",INDEX('Dólar Spot'!$C:$C,MATCH(Base!$G249,'Dólar Spot'!$A:$A,0)),"")</f>
        <v/>
      </c>
      <c r="L267" s="8">
        <v>198778000</v>
      </c>
      <c r="M267" s="7">
        <f>IF(N267="USD",L267*K267/1000000,L267/1000000)</f>
        <v>198.77799999999999</v>
      </c>
      <c r="N267" s="6" t="s">
        <v>348</v>
      </c>
      <c r="O267" s="9" t="str" cm="1">
        <f t="array" ref="O267">INDEX(Ratings!$B$2:$L$42,_xlfn.XMATCH(Base!E249,Ratings!$A$2:$A$42),_xlfn.XMATCH(YEAR(Base!G249),Ratings!$B$1:$L$1))</f>
        <v>BB</v>
      </c>
      <c r="P267">
        <f>IF(AND(O267&lt;&gt;"BBB-",O267&lt;&gt;"BBB",O267&lt;&gt;"BBB+"),0,1)</f>
        <v>0</v>
      </c>
      <c r="Q267" s="7">
        <f>INDEX('Bonds ANBIMA'!$F:$F,MATCH(Base!$B249,'Bonds ANBIMA'!$A:$A,0))</f>
        <v>4218.8928571428578</v>
      </c>
      <c r="R267" s="21">
        <f>INDEX('Bonds ANBIMA'!$H:$H,MATCH(Base!$B249,'Bonds ANBIMA'!$A:$A,0))</f>
        <v>0.72413793103448276</v>
      </c>
      <c r="S267" s="7">
        <f>INDEX('Debêntures ANBIMA'!$O:$O,MATCH(Base!$B249,'Debêntures ANBIMA'!$A:$A,0))</f>
        <v>208.1991166734694</v>
      </c>
      <c r="T267" s="24">
        <f>INDEX('Debêntures ANBIMA'!$P:$P,MATCH(Base!$B249,'Debêntures ANBIMA'!$A:$A,0))</f>
        <v>0.70629373590015865</v>
      </c>
    </row>
    <row r="268" spans="1:20" x14ac:dyDescent="0.35">
      <c r="A268">
        <f>YEAR(B268)</f>
        <v>2017</v>
      </c>
      <c r="B268" s="12">
        <f>DATE(YEAR(G268),MONTH(G268),DAY(1))</f>
        <v>43009</v>
      </c>
      <c r="C268">
        <f>IF(E268&lt;&gt;E267,C267+1,C267)</f>
        <v>31</v>
      </c>
      <c r="D268" s="6" t="s">
        <v>323</v>
      </c>
      <c r="E268" s="6" t="s">
        <v>127</v>
      </c>
      <c r="F268" s="6" t="s">
        <v>346</v>
      </c>
      <c r="G268" s="1">
        <v>43023</v>
      </c>
      <c r="H268" s="1">
        <v>44849</v>
      </c>
      <c r="I268" s="7">
        <f>IF(H268-G268&gt;(365*5),1,0)</f>
        <v>1</v>
      </c>
      <c r="J268" s="22">
        <v>1</v>
      </c>
      <c r="K268" s="9" t="str">
        <f>IF($N268="USD",INDEX('Dólar Spot'!$C:$C,MATCH(Base!$G250,'Dólar Spot'!$A:$A,0)),"")</f>
        <v/>
      </c>
      <c r="L268" s="8">
        <v>458664000</v>
      </c>
      <c r="M268" s="7">
        <f>IF(N268="USD",L268*K268/1000000,L268/1000000)</f>
        <v>458.66399999999999</v>
      </c>
      <c r="N268" s="6" t="s">
        <v>347</v>
      </c>
      <c r="O268" s="9" t="str" cm="1">
        <f t="array" ref="O268">INDEX(Ratings!$B$2:$L$42,_xlfn.XMATCH(Base!E250,Ratings!$A$2:$A$42),_xlfn.XMATCH(YEAR(Base!G250),Ratings!$B$1:$L$1))</f>
        <v>BB+</v>
      </c>
      <c r="P268">
        <f>IF(AND(O268&lt;&gt;"BBB-",O268&lt;&gt;"BBB",O268&lt;&gt;"BBB+"),0,1)</f>
        <v>0</v>
      </c>
      <c r="Q268" s="7">
        <f>INDEX('Bonds ANBIMA'!$F:$F,MATCH(Base!$B250,'Bonds ANBIMA'!$A:$A,0))</f>
        <v>4544.8166666666657</v>
      </c>
      <c r="R268" s="21">
        <f>INDEX('Bonds ANBIMA'!$H:$H,MATCH(Base!$B250,'Bonds ANBIMA'!$A:$A,0))</f>
        <v>0.83333333333333337</v>
      </c>
      <c r="S268" s="7">
        <f>INDEX('Debêntures ANBIMA'!$O:$O,MATCH(Base!$B250,'Debêntures ANBIMA'!$A:$A,0))</f>
        <v>405.99201704000006</v>
      </c>
      <c r="T268" s="24">
        <f>INDEX('Debêntures ANBIMA'!$P:$P,MATCH(Base!$B250,'Debêntures ANBIMA'!$A:$A,0))</f>
        <v>0.92399320653021089</v>
      </c>
    </row>
    <row r="269" spans="1:20" x14ac:dyDescent="0.35">
      <c r="A269">
        <f>YEAR(B269)</f>
        <v>2018</v>
      </c>
      <c r="B269" s="12">
        <f>DATE(YEAR(G269),MONTH(G269),DAY(1))</f>
        <v>43160</v>
      </c>
      <c r="C269">
        <f>IF(E269&lt;&gt;E268,C268+1,C268)</f>
        <v>31</v>
      </c>
      <c r="D269" s="6" t="s">
        <v>323</v>
      </c>
      <c r="E269" s="6" t="s">
        <v>127</v>
      </c>
      <c r="F269" s="6" t="s">
        <v>346</v>
      </c>
      <c r="G269" s="1">
        <v>43188</v>
      </c>
      <c r="H269" s="1">
        <v>44284</v>
      </c>
      <c r="I269" s="7">
        <f>IF(H269-G269&gt;(365*5),1,0)</f>
        <v>0</v>
      </c>
      <c r="J269" s="22">
        <v>1</v>
      </c>
      <c r="K269" s="9" t="str">
        <f>IF($N269="USD",INDEX('Dólar Spot'!$C:$C,MATCH(Base!$G251,'Dólar Spot'!$A:$A,0)),"")</f>
        <v/>
      </c>
      <c r="L269" s="8">
        <v>425000000</v>
      </c>
      <c r="M269" s="7">
        <f>IF(N269="USD",L269*K269/1000000,L269/1000000)</f>
        <v>425</v>
      </c>
      <c r="N269" s="6" t="s">
        <v>348</v>
      </c>
      <c r="O269" s="9" t="str" cm="1">
        <f t="array" ref="O269">INDEX(Ratings!$B$2:$L$42,_xlfn.XMATCH(Base!E251,Ratings!$A$2:$A$42),_xlfn.XMATCH(YEAR(Base!G251),Ratings!$B$1:$L$1))</f>
        <v>BB+</v>
      </c>
      <c r="P269">
        <f>IF(AND(O269&lt;&gt;"BBB-",O269&lt;&gt;"BBB",O269&lt;&gt;"BBB+"),0,1)</f>
        <v>0</v>
      </c>
      <c r="Q269" s="7">
        <f>INDEX('Bonds ANBIMA'!$F:$F,MATCH(Base!$B251,'Bonds ANBIMA'!$A:$A,0))</f>
        <v>4544.8166666666657</v>
      </c>
      <c r="R269" s="21">
        <f>INDEX('Bonds ANBIMA'!$H:$H,MATCH(Base!$B251,'Bonds ANBIMA'!$A:$A,0))</f>
        <v>0.83333333333333337</v>
      </c>
      <c r="S269" s="7">
        <f>INDEX('Debêntures ANBIMA'!$O:$O,MATCH(Base!$B251,'Debêntures ANBIMA'!$A:$A,0))</f>
        <v>405.99201704000006</v>
      </c>
      <c r="T269" s="24">
        <f>INDEX('Debêntures ANBIMA'!$P:$P,MATCH(Base!$B251,'Debêntures ANBIMA'!$A:$A,0))</f>
        <v>0.92399320653021089</v>
      </c>
    </row>
    <row r="270" spans="1:20" x14ac:dyDescent="0.35">
      <c r="A270">
        <f>YEAR(B270)</f>
        <v>2018</v>
      </c>
      <c r="B270" s="12">
        <f>DATE(YEAR(G270),MONTH(G270),DAY(1))</f>
        <v>43374</v>
      </c>
      <c r="C270">
        <f>IF(E270&lt;&gt;E269,C269+1,C269)</f>
        <v>31</v>
      </c>
      <c r="D270" s="6" t="s">
        <v>323</v>
      </c>
      <c r="E270" s="6" t="s">
        <v>127</v>
      </c>
      <c r="F270" s="6" t="s">
        <v>346</v>
      </c>
      <c r="G270" s="1">
        <v>43388</v>
      </c>
      <c r="H270" s="1">
        <v>45945</v>
      </c>
      <c r="I270" s="7">
        <f>IF(H270-G270&gt;(365*5),1,0)</f>
        <v>1</v>
      </c>
      <c r="J270" s="22">
        <v>1</v>
      </c>
      <c r="K270" s="9" t="str">
        <f>IF($N270="USD",INDEX('Dólar Spot'!$C:$C,MATCH(Base!$G252,'Dólar Spot'!$A:$A,0)),"")</f>
        <v/>
      </c>
      <c r="L270" s="8">
        <v>540000000</v>
      </c>
      <c r="M270" s="7">
        <f>IF(N270="USD",L270*K270/1000000,L270/1000000)</f>
        <v>540</v>
      </c>
      <c r="N270" s="6" t="s">
        <v>347</v>
      </c>
      <c r="O270" s="9" t="str" cm="1">
        <f t="array" ref="O270">INDEX(Ratings!$B$2:$L$42,_xlfn.XMATCH(Base!E252,Ratings!$A$2:$A$42),_xlfn.XMATCH(YEAR(Base!G252),Ratings!$B$1:$L$1))</f>
        <v>BB+</v>
      </c>
      <c r="P270">
        <f>IF(AND(O270&lt;&gt;"BBB-",O270&lt;&gt;"BBB",O270&lt;&gt;"BBB+"),0,1)</f>
        <v>0</v>
      </c>
      <c r="Q270" s="7">
        <f>INDEX('Bonds ANBIMA'!$F:$F,MATCH(Base!$B252,'Bonds ANBIMA'!$A:$A,0))</f>
        <v>4864.67</v>
      </c>
      <c r="R270" s="21">
        <f>INDEX('Bonds ANBIMA'!$H:$H,MATCH(Base!$B252,'Bonds ANBIMA'!$A:$A,0))</f>
        <v>0.85714285714285721</v>
      </c>
      <c r="S270" s="7">
        <f>INDEX('Debêntures ANBIMA'!$O:$O,MATCH(Base!$B252,'Debêntures ANBIMA'!$A:$A,0))</f>
        <v>336.99742476</v>
      </c>
      <c r="T270" s="24">
        <f>INDEX('Debêntures ANBIMA'!$P:$P,MATCH(Base!$B252,'Debêntures ANBIMA'!$A:$A,0))</f>
        <v>0.64497198827378088</v>
      </c>
    </row>
    <row r="271" spans="1:20" x14ac:dyDescent="0.35">
      <c r="A271">
        <f>YEAR(B271)</f>
        <v>2019</v>
      </c>
      <c r="B271" s="12">
        <f>DATE(YEAR(G271),MONTH(G271),DAY(1))</f>
        <v>43556</v>
      </c>
      <c r="C271">
        <f>IF(E271&lt;&gt;E270,C270+1,C270)</f>
        <v>31</v>
      </c>
      <c r="D271" s="6" t="s">
        <v>323</v>
      </c>
      <c r="E271" s="6" t="s">
        <v>127</v>
      </c>
      <c r="F271" s="6" t="s">
        <v>346</v>
      </c>
      <c r="G271" s="1">
        <v>43570</v>
      </c>
      <c r="H271" s="1">
        <v>44666</v>
      </c>
      <c r="I271" s="7">
        <f>IF(H271-G271&gt;(365*5),1,0)</f>
        <v>0</v>
      </c>
      <c r="J271" s="22">
        <v>1</v>
      </c>
      <c r="K271" s="9" t="str">
        <f>IF($N271="USD",INDEX('Dólar Spot'!$C:$C,MATCH(Base!$G253,'Dólar Spot'!$A:$A,0)),"")</f>
        <v/>
      </c>
      <c r="L271" s="8">
        <v>132500000</v>
      </c>
      <c r="M271" s="7">
        <f>IF(N271="USD",L271*K271/1000000,L271/1000000)</f>
        <v>132.5</v>
      </c>
      <c r="N271" s="6" t="s">
        <v>348</v>
      </c>
      <c r="O271" s="9" t="str" cm="1">
        <f t="array" ref="O271">INDEX(Ratings!$B$2:$L$42,_xlfn.XMATCH(Base!E253,Ratings!$A$2:$A$42),_xlfn.XMATCH(YEAR(Base!G253),Ratings!$B$1:$L$1))</f>
        <v>BB+</v>
      </c>
      <c r="P271">
        <f>IF(AND(O271&lt;&gt;"BBB-",O271&lt;&gt;"BBB",O271&lt;&gt;"BBB+"),0,1)</f>
        <v>0</v>
      </c>
      <c r="Q271" s="7">
        <f>INDEX('Bonds ANBIMA'!$F:$F,MATCH(Base!$B253,'Bonds ANBIMA'!$A:$A,0))</f>
        <v>2664.0614999999998</v>
      </c>
      <c r="R271" s="21">
        <f>INDEX('Bonds ANBIMA'!$H:$H,MATCH(Base!$B253,'Bonds ANBIMA'!$A:$A,0))</f>
        <v>0.91666666666666663</v>
      </c>
      <c r="S271" s="7">
        <f>INDEX('Debêntures ANBIMA'!$O:$O,MATCH(Base!$B253,'Debêntures ANBIMA'!$A:$A,0))</f>
        <v>205.69069620833338</v>
      </c>
      <c r="T271" s="24">
        <f>INDEX('Debêntures ANBIMA'!$P:$P,MATCH(Base!$B253,'Debêntures ANBIMA'!$A:$A,0))</f>
        <v>0.45742910467193804</v>
      </c>
    </row>
    <row r="272" spans="1:20" x14ac:dyDescent="0.35">
      <c r="A272">
        <f>YEAR(B272)</f>
        <v>2019</v>
      </c>
      <c r="B272" s="12">
        <f>DATE(YEAR(G272),MONTH(G272),DAY(1))</f>
        <v>43739</v>
      </c>
      <c r="C272">
        <f>IF(E272&lt;&gt;E271,C271+1,C271)</f>
        <v>31</v>
      </c>
      <c r="D272" s="6" t="s">
        <v>323</v>
      </c>
      <c r="E272" s="6" t="s">
        <v>127</v>
      </c>
      <c r="F272" s="6" t="s">
        <v>346</v>
      </c>
      <c r="G272" s="1">
        <v>43753</v>
      </c>
      <c r="H272" s="1">
        <v>44849</v>
      </c>
      <c r="I272" s="7">
        <f>IF(H272-G272&gt;(365*5),1,0)</f>
        <v>0</v>
      </c>
      <c r="J272" s="22">
        <v>1</v>
      </c>
      <c r="K272" s="9" t="str">
        <f>IF($N272="USD",INDEX('Dólar Spot'!$C:$C,MATCH(Base!$G254,'Dólar Spot'!$A:$A,0)),"")</f>
        <v/>
      </c>
      <c r="L272" s="8">
        <v>500400000</v>
      </c>
      <c r="M272" s="7">
        <f>IF(N272="USD",L272*K272/1000000,L272/1000000)</f>
        <v>500.4</v>
      </c>
      <c r="N272" s="6" t="s">
        <v>348</v>
      </c>
      <c r="O272" s="9" t="str" cm="1">
        <f t="array" ref="O272">INDEX(Ratings!$B$2:$L$42,_xlfn.XMATCH(Base!E254,Ratings!$A$2:$A$42),_xlfn.XMATCH(YEAR(Base!G254),Ratings!$B$1:$L$1))</f>
        <v>BBB-</v>
      </c>
      <c r="P272">
        <f>IF(AND(O272&lt;&gt;"BBB-",O272&lt;&gt;"BBB",O272&lt;&gt;"BBB+"),0,1)</f>
        <v>1</v>
      </c>
      <c r="Q272" s="7">
        <f>INDEX('Bonds ANBIMA'!$F:$F,MATCH(Base!$B254,'Bonds ANBIMA'!$A:$A,0))</f>
        <v>1942.8623457223</v>
      </c>
      <c r="R272" s="21">
        <f>INDEX('Bonds ANBIMA'!$H:$H,MATCH(Base!$B254,'Bonds ANBIMA'!$A:$A,0))</f>
        <v>0.7592592592592593</v>
      </c>
      <c r="S272" s="7">
        <f>INDEX('Debêntures ANBIMA'!$O:$O,MATCH(Base!$B254,'Debêntures ANBIMA'!$A:$A,0))</f>
        <v>161.08695652173913</v>
      </c>
      <c r="T272" s="24">
        <f>INDEX('Debêntures ANBIMA'!$P:$P,MATCH(Base!$B254,'Debêntures ANBIMA'!$A:$A,0))</f>
        <v>0.3951417004048583</v>
      </c>
    </row>
    <row r="273" spans="1:20" x14ac:dyDescent="0.35">
      <c r="A273">
        <f>YEAR(B273)</f>
        <v>2020</v>
      </c>
      <c r="B273" s="12">
        <f>DATE(YEAR(G273),MONTH(G273),DAY(1))</f>
        <v>43922</v>
      </c>
      <c r="C273">
        <f>IF(E273&lt;&gt;E272,C272+1,C272)</f>
        <v>31</v>
      </c>
      <c r="D273" s="6" t="s">
        <v>323</v>
      </c>
      <c r="E273" s="6" t="s">
        <v>127</v>
      </c>
      <c r="F273" s="6" t="s">
        <v>346</v>
      </c>
      <c r="G273" s="1">
        <v>43936</v>
      </c>
      <c r="H273" s="1">
        <v>44301</v>
      </c>
      <c r="I273" s="7">
        <f>IF(H273-G273&gt;(365*5),1,0)</f>
        <v>0</v>
      </c>
      <c r="J273" s="22">
        <v>1</v>
      </c>
      <c r="K273" s="9" t="str">
        <f>IF($N273="USD",INDEX('Dólar Spot'!$C:$C,MATCH(Base!$G255,'Dólar Spot'!$A:$A,0)),"")</f>
        <v/>
      </c>
      <c r="L273" s="8">
        <v>400000000</v>
      </c>
      <c r="M273" s="7">
        <f>IF(N273="USD",L273*K273/1000000,L273/1000000)</f>
        <v>400</v>
      </c>
      <c r="N273" s="6" t="s">
        <v>348</v>
      </c>
      <c r="O273" s="9" t="str" cm="1">
        <f t="array" ref="O273">INDEX(Ratings!$B$2:$L$42,_xlfn.XMATCH(Base!E255,Ratings!$A$2:$A$42),_xlfn.XMATCH(YEAR(Base!G255),Ratings!$B$1:$L$1))</f>
        <v>BB+</v>
      </c>
      <c r="P273">
        <f>IF(AND(O273&lt;&gt;"BBB-",O273&lt;&gt;"BBB",O273&lt;&gt;"BBB+"),0,1)</f>
        <v>0</v>
      </c>
      <c r="Q273" s="7">
        <f>INDEX('Bonds ANBIMA'!$F:$F,MATCH(Base!$B255,'Bonds ANBIMA'!$A:$A,0))</f>
        <v>2644.9005681818185</v>
      </c>
      <c r="R273" s="21">
        <f>INDEX('Bonds ANBIMA'!$H:$H,MATCH(Base!$B255,'Bonds ANBIMA'!$A:$A,0))</f>
        <v>0.75</v>
      </c>
      <c r="S273" s="7">
        <f>INDEX('Debêntures ANBIMA'!$O:$O,MATCH(Base!$B255,'Debêntures ANBIMA'!$A:$A,0))</f>
        <v>430.5</v>
      </c>
      <c r="T273" s="24">
        <f>INDEX('Debêntures ANBIMA'!$P:$P,MATCH(Base!$B255,'Debêntures ANBIMA'!$A:$A,0))</f>
        <v>0.14942026169192898</v>
      </c>
    </row>
    <row r="274" spans="1:20" x14ac:dyDescent="0.35">
      <c r="A274">
        <f>YEAR(B274)</f>
        <v>2020</v>
      </c>
      <c r="B274" s="12">
        <f>DATE(YEAR(G274),MONTH(G274),DAY(1))</f>
        <v>44013</v>
      </c>
      <c r="C274">
        <f>IF(E274&lt;&gt;E273,C273+1,C273)</f>
        <v>31</v>
      </c>
      <c r="D274" s="6" t="s">
        <v>323</v>
      </c>
      <c r="E274" s="6" t="s">
        <v>127</v>
      </c>
      <c r="F274" s="6" t="s">
        <v>346</v>
      </c>
      <c r="G274" s="1">
        <v>44040</v>
      </c>
      <c r="H274" s="1">
        <v>45853</v>
      </c>
      <c r="I274" s="7">
        <f>IF(H274-G274&gt;(365*5),1,0)</f>
        <v>0</v>
      </c>
      <c r="J274" s="22">
        <v>1</v>
      </c>
      <c r="K274" s="9" t="str">
        <f>IF($N274="USD",INDEX('Dólar Spot'!$C:$C,MATCH(Base!$G256,'Dólar Spot'!$A:$A,0)),"")</f>
        <v/>
      </c>
      <c r="L274" s="8">
        <v>500000000</v>
      </c>
      <c r="M274" s="7">
        <f>IF(N274="USD",L274*K274/1000000,L274/1000000)</f>
        <v>500</v>
      </c>
      <c r="N274" s="6" t="s">
        <v>347</v>
      </c>
      <c r="O274" s="9" t="str" cm="1">
        <f t="array" ref="O274">INDEX(Ratings!$B$2:$L$42,_xlfn.XMATCH(Base!E256,Ratings!$A$2:$A$42),_xlfn.XMATCH(YEAR(Base!G256),Ratings!$B$1:$L$1))</f>
        <v>BB+</v>
      </c>
      <c r="P274">
        <f>IF(AND(O274&lt;&gt;"BBB-",O274&lt;&gt;"BBB",O274&lt;&gt;"BBB+"),0,1)</f>
        <v>0</v>
      </c>
      <c r="Q274" s="7">
        <f>INDEX('Bonds ANBIMA'!$F:$F,MATCH(Base!$B256,'Bonds ANBIMA'!$A:$A,0))</f>
        <v>2361.6956521739135</v>
      </c>
      <c r="R274" s="21">
        <f>INDEX('Bonds ANBIMA'!$H:$H,MATCH(Base!$B256,'Bonds ANBIMA'!$A:$A,0))</f>
        <v>0.8125</v>
      </c>
      <c r="S274" s="7">
        <f>INDEX('Debêntures ANBIMA'!$O:$O,MATCH(Base!$B256,'Debêntures ANBIMA'!$A:$A,0))</f>
        <v>277.1682222222222</v>
      </c>
      <c r="T274" s="24">
        <f>INDEX('Debêntures ANBIMA'!$P:$P,MATCH(Base!$B256,'Debêntures ANBIMA'!$A:$A,0))</f>
        <v>0.88986216208179325</v>
      </c>
    </row>
    <row r="275" spans="1:20" x14ac:dyDescent="0.35">
      <c r="A275">
        <f>YEAR(B275)</f>
        <v>2020</v>
      </c>
      <c r="B275" s="12">
        <f>DATE(YEAR(G275),MONTH(G275),DAY(1))</f>
        <v>44044</v>
      </c>
      <c r="C275">
        <f>IF(E275&lt;&gt;E274,C274+1,C274)</f>
        <v>31</v>
      </c>
      <c r="D275" s="6" t="s">
        <v>323</v>
      </c>
      <c r="E275" s="6" t="s">
        <v>127</v>
      </c>
      <c r="F275" s="6" t="s">
        <v>346</v>
      </c>
      <c r="G275" s="1">
        <v>44058</v>
      </c>
      <c r="H275" s="1">
        <v>45884</v>
      </c>
      <c r="I275" s="7">
        <f>IF(H275-G275&gt;(365*5),1,0)</f>
        <v>1</v>
      </c>
      <c r="J275" s="22">
        <v>1</v>
      </c>
      <c r="K275" s="9" t="str">
        <f>IF($N275="USD",INDEX('Dólar Spot'!$C:$C,MATCH(Base!$G257,'Dólar Spot'!$A:$A,0)),"")</f>
        <v/>
      </c>
      <c r="L275" s="8">
        <v>600000000</v>
      </c>
      <c r="M275" s="7">
        <f>IF(N275="USD",L275*K275/1000000,L275/1000000)</f>
        <v>600</v>
      </c>
      <c r="N275" s="6" t="s">
        <v>347</v>
      </c>
      <c r="O275" s="9" t="str" cm="1">
        <f t="array" ref="O275">INDEX(Ratings!$B$2:$L$42,_xlfn.XMATCH(Base!E257,Ratings!$A$2:$A$42),_xlfn.XMATCH(YEAR(Base!G257),Ratings!$B$1:$L$1))</f>
        <v>BB+</v>
      </c>
      <c r="P275">
        <f>IF(AND(O275&lt;&gt;"BBB-",O275&lt;&gt;"BBB",O275&lt;&gt;"BBB+"),0,1)</f>
        <v>0</v>
      </c>
      <c r="Q275" s="7">
        <f>INDEX('Bonds ANBIMA'!$F:$F,MATCH(Base!$B257,'Bonds ANBIMA'!$A:$A,0))</f>
        <v>11537.652631578947</v>
      </c>
      <c r="R275" s="21">
        <f>INDEX('Bonds ANBIMA'!$H:$H,MATCH(Base!$B257,'Bonds ANBIMA'!$A:$A,0))</f>
        <v>0.83333333333333304</v>
      </c>
      <c r="S275" s="7">
        <f>INDEX('Debêntures ANBIMA'!$O:$O,MATCH(Base!$B257,'Debêntures ANBIMA'!$A:$A,0))</f>
        <v>325.702</v>
      </c>
      <c r="T275" s="24">
        <f>INDEX('Debêntures ANBIMA'!$P:$P,MATCH(Base!$B257,'Debêntures ANBIMA'!$A:$A,0))</f>
        <v>0.85199595199929778</v>
      </c>
    </row>
    <row r="276" spans="1:20" x14ac:dyDescent="0.35">
      <c r="A276">
        <f>YEAR(B276)</f>
        <v>2017</v>
      </c>
      <c r="B276" s="12">
        <f>DATE(YEAR(G276),MONTH(G276),DAY(1))</f>
        <v>42917</v>
      </c>
      <c r="C276">
        <f>IF(E276&lt;&gt;E275,C275+1,C275)</f>
        <v>31</v>
      </c>
      <c r="D276" s="6" t="s">
        <v>323</v>
      </c>
      <c r="E276" s="6" t="s">
        <v>127</v>
      </c>
      <c r="F276" s="6" t="s">
        <v>346</v>
      </c>
      <c r="G276" s="1">
        <v>42923</v>
      </c>
      <c r="H276" s="1">
        <v>44027</v>
      </c>
      <c r="I276" s="7">
        <f>IF(H276-G276&gt;(365*5),1,0)</f>
        <v>0</v>
      </c>
      <c r="J276" s="22">
        <v>1</v>
      </c>
      <c r="K276" s="9" t="str">
        <f>IF($N276="USD",INDEX('Dólar Spot'!$C:$C,MATCH(Base!$G258,'Dólar Spot'!$A:$A,0)),"")</f>
        <v/>
      </c>
      <c r="L276" s="8">
        <v>147889000</v>
      </c>
      <c r="M276" s="7">
        <f>IF(N276="USD",L276*K276/1000000,L276/1000000)</f>
        <v>147.88900000000001</v>
      </c>
      <c r="N276" s="6" t="s">
        <v>348</v>
      </c>
      <c r="O276" s="9" t="str" cm="1">
        <f t="array" ref="O276">INDEX(Ratings!$B$2:$L$42,_xlfn.XMATCH(Base!E258,Ratings!$A$2:$A$42),_xlfn.XMATCH(YEAR(Base!G258),Ratings!$B$1:$L$1))</f>
        <v>NR</v>
      </c>
      <c r="P276">
        <f>IF(AND(O276&lt;&gt;"BBB-",O276&lt;&gt;"BBB",O276&lt;&gt;"BBB+"),0,1)</f>
        <v>0</v>
      </c>
      <c r="Q276" s="7">
        <f>INDEX('Bonds ANBIMA'!$F:$F,MATCH(Base!$B258,'Bonds ANBIMA'!$A:$A,0))</f>
        <v>1407.9328902834009</v>
      </c>
      <c r="R276" s="21">
        <f>INDEX('Bonds ANBIMA'!$H:$H,MATCH(Base!$B258,'Bonds ANBIMA'!$A:$A,0))</f>
        <v>0.5862068965517242</v>
      </c>
      <c r="S276" s="7">
        <f>INDEX('Debêntures ANBIMA'!$O:$O,MATCH(Base!$B258,'Debêntures ANBIMA'!$A:$A,0))</f>
        <v>305.92307692307691</v>
      </c>
      <c r="T276" s="24">
        <f>INDEX('Debêntures ANBIMA'!$P:$P,MATCH(Base!$B258,'Debêntures ANBIMA'!$A:$A,0))</f>
        <v>0.94971083731455874</v>
      </c>
    </row>
    <row r="277" spans="1:20" x14ac:dyDescent="0.35">
      <c r="A277">
        <f>YEAR(B277)</f>
        <v>2018</v>
      </c>
      <c r="B277" s="12">
        <f>DATE(YEAR(G277),MONTH(G277),DAY(1))</f>
        <v>43374</v>
      </c>
      <c r="C277">
        <f>IF(E277&lt;&gt;E276,C276+1,C276)</f>
        <v>31</v>
      </c>
      <c r="D277" s="6" t="s">
        <v>323</v>
      </c>
      <c r="E277" s="6" t="s">
        <v>127</v>
      </c>
      <c r="F277" s="6" t="s">
        <v>346</v>
      </c>
      <c r="G277" s="1">
        <v>43388</v>
      </c>
      <c r="H277" s="1">
        <v>44849</v>
      </c>
      <c r="I277" s="7">
        <f>IF(H277-G277&gt;(365*5),1,0)</f>
        <v>0</v>
      </c>
      <c r="J277" s="22">
        <v>1</v>
      </c>
      <c r="K277" s="9" t="str">
        <f>IF($N277="USD",INDEX('Dólar Spot'!$C:$C,MATCH(Base!$G259,'Dólar Spot'!$A:$A,0)),"")</f>
        <v/>
      </c>
      <c r="L277" s="8">
        <v>160000000</v>
      </c>
      <c r="M277" s="7">
        <f>IF(N277="USD",L277*K277/1000000,L277/1000000)</f>
        <v>160</v>
      </c>
      <c r="N277" s="6" t="s">
        <v>348</v>
      </c>
      <c r="O277" s="9" t="str" cm="1">
        <f t="array" ref="O277">INDEX(Ratings!$B$2:$L$42,_xlfn.XMATCH(Base!E259,Ratings!$A$2:$A$42),_xlfn.XMATCH(YEAR(Base!G259),Ratings!$B$1:$L$1))</f>
        <v>NR</v>
      </c>
      <c r="P277">
        <f>IF(AND(O277&lt;&gt;"BBB-",O277&lt;&gt;"BBB",O277&lt;&gt;"BBB+"),0,1)</f>
        <v>0</v>
      </c>
      <c r="Q277" s="7">
        <f>INDEX('Bonds ANBIMA'!$F:$F,MATCH(Base!$B259,'Bonds ANBIMA'!$A:$A,0))</f>
        <v>0</v>
      </c>
      <c r="R277" s="21">
        <f>INDEX('Bonds ANBIMA'!$H:$H,MATCH(Base!$B259,'Bonds ANBIMA'!$A:$A,0))</f>
        <v>0.77777777777777779</v>
      </c>
      <c r="S277" s="7">
        <f>INDEX('Debêntures ANBIMA'!$O:$O,MATCH(Base!$B259,'Debêntures ANBIMA'!$A:$A,0))</f>
        <v>283.18045185185184</v>
      </c>
      <c r="T277" s="24">
        <f>INDEX('Debêntures ANBIMA'!$P:$P,MATCH(Base!$B259,'Debêntures ANBIMA'!$A:$A,0))</f>
        <v>0.53282420541151609</v>
      </c>
    </row>
    <row r="278" spans="1:20" x14ac:dyDescent="0.35">
      <c r="A278">
        <f>YEAR(B278)</f>
        <v>2019</v>
      </c>
      <c r="B278" s="12">
        <f>DATE(YEAR(G278),MONTH(G278),DAY(1))</f>
        <v>43556</v>
      </c>
      <c r="C278">
        <f>IF(E278&lt;&gt;E277,C277+1,C277)</f>
        <v>31</v>
      </c>
      <c r="D278" s="6" t="s">
        <v>323</v>
      </c>
      <c r="E278" s="6" t="s">
        <v>127</v>
      </c>
      <c r="F278" s="6" t="s">
        <v>346</v>
      </c>
      <c r="G278" s="1">
        <v>43570</v>
      </c>
      <c r="H278" s="1">
        <v>45397</v>
      </c>
      <c r="I278" s="7">
        <f>IF(H278-G278&gt;(365*5),1,0)</f>
        <v>1</v>
      </c>
      <c r="J278" s="22">
        <v>1</v>
      </c>
      <c r="K278" s="9" t="str">
        <f>IF($N278="USD",INDEX('Dólar Spot'!$C:$C,MATCH(Base!$G260,'Dólar Spot'!$A:$A,0)),"")</f>
        <v/>
      </c>
      <c r="L278" s="8">
        <v>422950000</v>
      </c>
      <c r="M278" s="7">
        <f>IF(N278="USD",L278*K278/1000000,L278/1000000)</f>
        <v>422.95</v>
      </c>
      <c r="N278" s="6" t="s">
        <v>348</v>
      </c>
      <c r="O278" s="9" t="str" cm="1">
        <f t="array" ref="O278">INDEX(Ratings!$B$2:$L$42,_xlfn.XMATCH(Base!E260,Ratings!$A$2:$A$42),_xlfn.XMATCH(YEAR(Base!G260),Ratings!$B$1:$L$1))</f>
        <v>NR</v>
      </c>
      <c r="P278">
        <f>IF(AND(O278&lt;&gt;"BBB-",O278&lt;&gt;"BBB",O278&lt;&gt;"BBB+"),0,1)</f>
        <v>0</v>
      </c>
      <c r="Q278" s="7">
        <f>INDEX('Bonds ANBIMA'!$F:$F,MATCH(Base!$B260,'Bonds ANBIMA'!$A:$A,0))</f>
        <v>0</v>
      </c>
      <c r="R278" s="21">
        <f>INDEX('Bonds ANBIMA'!$H:$H,MATCH(Base!$B260,'Bonds ANBIMA'!$A:$A,0))</f>
        <v>0.88235294117647056</v>
      </c>
      <c r="S278" s="7">
        <f>INDEX('Debêntures ANBIMA'!$O:$O,MATCH(Base!$B260,'Debêntures ANBIMA'!$A:$A,0))</f>
        <v>229.18</v>
      </c>
      <c r="T278" s="24">
        <f>INDEX('Debêntures ANBIMA'!$P:$P,MATCH(Base!$B260,'Debêntures ANBIMA'!$A:$A,0))</f>
        <v>0.66574628235726097</v>
      </c>
    </row>
    <row r="279" spans="1:20" x14ac:dyDescent="0.35">
      <c r="A279">
        <f>YEAR(B279)</f>
        <v>2019</v>
      </c>
      <c r="B279" s="12">
        <f>DATE(YEAR(G279),MONTH(G279),DAY(1))</f>
        <v>43739</v>
      </c>
      <c r="C279">
        <f>IF(E279&lt;&gt;E278,C278+1,C278)</f>
        <v>31</v>
      </c>
      <c r="D279" s="6" t="s">
        <v>323</v>
      </c>
      <c r="E279" s="6" t="s">
        <v>127</v>
      </c>
      <c r="F279" s="6" t="s">
        <v>346</v>
      </c>
      <c r="G279" s="1">
        <v>43753</v>
      </c>
      <c r="H279" s="1">
        <v>45580</v>
      </c>
      <c r="I279" s="7">
        <f>IF(H279-G279&gt;(365*5),1,0)</f>
        <v>1</v>
      </c>
      <c r="J279" s="22">
        <v>1</v>
      </c>
      <c r="K279" s="9" t="str">
        <f>IF($N279="USD",INDEX('Dólar Spot'!$C:$C,MATCH(Base!$G261,'Dólar Spot'!$A:$A,0)),"")</f>
        <v/>
      </c>
      <c r="L279" s="8">
        <v>50000000</v>
      </c>
      <c r="M279" s="7">
        <f>IF(N279="USD",L279*K279/1000000,L279/1000000)</f>
        <v>50</v>
      </c>
      <c r="N279" s="6" t="s">
        <v>348</v>
      </c>
      <c r="O279" s="9" t="str" cm="1">
        <f t="array" ref="O279">INDEX(Ratings!$B$2:$L$42,_xlfn.XMATCH(Base!E261,Ratings!$A$2:$A$42),_xlfn.XMATCH(YEAR(Base!G261),Ratings!$B$1:$L$1))</f>
        <v>NR</v>
      </c>
      <c r="P279">
        <f>IF(AND(O279&lt;&gt;"BBB-",O279&lt;&gt;"BBB",O279&lt;&gt;"BBB+"),0,1)</f>
        <v>0</v>
      </c>
      <c r="Q279" s="7">
        <f>INDEX('Bonds ANBIMA'!$F:$F,MATCH(Base!$B261,'Bonds ANBIMA'!$A:$A,0))</f>
        <v>1955.2410000000004</v>
      </c>
      <c r="R279" s="21">
        <f>INDEX('Bonds ANBIMA'!$H:$H,MATCH(Base!$B261,'Bonds ANBIMA'!$A:$A,0))</f>
        <v>0.90322580645161288</v>
      </c>
      <c r="S279" s="7">
        <f>INDEX('Debêntures ANBIMA'!$O:$O,MATCH(Base!$B261,'Debêntures ANBIMA'!$A:$A,0))</f>
        <v>324.58823529411762</v>
      </c>
      <c r="T279" s="24">
        <f>INDEX('Debêntures ANBIMA'!$P:$P,MATCH(Base!$B261,'Debêntures ANBIMA'!$A:$A,0))</f>
        <v>0.68192001200656893</v>
      </c>
    </row>
    <row r="280" spans="1:20" x14ac:dyDescent="0.35">
      <c r="A280">
        <f>YEAR(B280)</f>
        <v>2017</v>
      </c>
      <c r="B280" s="12">
        <f>DATE(YEAR(G280),MONTH(G280),DAY(1))</f>
        <v>42917</v>
      </c>
      <c r="C280">
        <f>IF(E280&lt;&gt;E279,C279+1,C279)</f>
        <v>31</v>
      </c>
      <c r="D280" s="6" t="s">
        <v>323</v>
      </c>
      <c r="E280" s="6" t="s">
        <v>127</v>
      </c>
      <c r="F280" s="6" t="s">
        <v>346</v>
      </c>
      <c r="G280" s="1">
        <v>42923</v>
      </c>
      <c r="H280" s="1">
        <v>44027</v>
      </c>
      <c r="I280" s="7">
        <f>IF(H280-G280&gt;(365*5),1,0)</f>
        <v>0</v>
      </c>
      <c r="J280" s="22">
        <v>1</v>
      </c>
      <c r="K280" s="9" t="str">
        <f>IF($N280="USD",INDEX('Dólar Spot'!$C:$C,MATCH(Base!$G262,'Dólar Spot'!$A:$A,0)),"")</f>
        <v/>
      </c>
      <c r="L280" s="8">
        <v>53333000</v>
      </c>
      <c r="M280" s="7">
        <f>IF(N280="USD",L280*K280/1000000,L280/1000000)</f>
        <v>53.332999999999998</v>
      </c>
      <c r="N280" s="6" t="s">
        <v>347</v>
      </c>
      <c r="O280" s="9" t="str" cm="1">
        <f t="array" ref="O280">INDEX(Ratings!$B$2:$L$42,_xlfn.XMATCH(Base!E262,Ratings!$A$2:$A$42),_xlfn.XMATCH(YEAR(Base!G262),Ratings!$B$1:$L$1))</f>
        <v>BB-</v>
      </c>
      <c r="P280">
        <f>IF(AND(O280&lt;&gt;"BBB-",O280&lt;&gt;"BBB",O280&lt;&gt;"BBB+"),0,1)</f>
        <v>0</v>
      </c>
      <c r="Q280" s="7">
        <f>INDEX('Bonds ANBIMA'!$F:$F,MATCH(Base!$B262,'Bonds ANBIMA'!$A:$A,0))</f>
        <v>3609.2190909090909</v>
      </c>
      <c r="R280" s="21">
        <f>INDEX('Bonds ANBIMA'!$H:$H,MATCH(Base!$B262,'Bonds ANBIMA'!$A:$A,0))</f>
        <v>0.79166666666666663</v>
      </c>
      <c r="S280" s="7">
        <f>INDEX('Debêntures ANBIMA'!$O:$O,MATCH(Base!$B262,'Debêntures ANBIMA'!$A:$A,0))</f>
        <v>568.24089808413794</v>
      </c>
      <c r="T280" s="24">
        <f>INDEX('Debêntures ANBIMA'!$P:$P,MATCH(Base!$B262,'Debêntures ANBIMA'!$A:$A,0))</f>
        <v>0.46520214713834979</v>
      </c>
    </row>
    <row r="281" spans="1:20" x14ac:dyDescent="0.35">
      <c r="A281">
        <f>YEAR(B281)</f>
        <v>2021</v>
      </c>
      <c r="B281" s="12">
        <f>DATE(YEAR(G281),MONTH(G281),DAY(1))</f>
        <v>44470</v>
      </c>
      <c r="C281">
        <f>IF(E281&lt;&gt;E280,C280+1,C280)</f>
        <v>31</v>
      </c>
      <c r="D281" s="6" t="s">
        <v>323</v>
      </c>
      <c r="E281" s="6" t="s">
        <v>127</v>
      </c>
      <c r="F281" s="6" t="s">
        <v>346</v>
      </c>
      <c r="G281" s="1">
        <v>44484</v>
      </c>
      <c r="H281" s="1">
        <v>46310</v>
      </c>
      <c r="I281" s="7">
        <f>IF(H281-G281&gt;(365*5),1,0)</f>
        <v>1</v>
      </c>
      <c r="J281" s="22">
        <v>1</v>
      </c>
      <c r="K281" s="9" t="str">
        <f>IF($N281="USD",INDEX('Dólar Spot'!$C:$C,MATCH(Base!$G263,'Dólar Spot'!$A:$A,0)),"")</f>
        <v/>
      </c>
      <c r="L281" s="8">
        <v>263500000</v>
      </c>
      <c r="M281" s="7">
        <f>IF(N281="USD",L281*K281/1000000,L281/1000000)</f>
        <v>263.5</v>
      </c>
      <c r="N281" s="6" t="s">
        <v>348</v>
      </c>
      <c r="O281" s="9" t="str" cm="1">
        <f t="array" ref="O281">INDEX(Ratings!$B$2:$L$42,_xlfn.XMATCH(Base!E263,Ratings!$A$2:$A$42),_xlfn.XMATCH(YEAR(Base!G263),Ratings!$B$1:$L$1))</f>
        <v>BB-</v>
      </c>
      <c r="P281">
        <f>IF(AND(O281&lt;&gt;"BBB-",O281&lt;&gt;"BBB",O281&lt;&gt;"BBB+"),0,1)</f>
        <v>0</v>
      </c>
      <c r="Q281" s="7">
        <f>INDEX('Bonds ANBIMA'!$F:$F,MATCH(Base!$B263,'Bonds ANBIMA'!$A:$A,0))</f>
        <v>3609.2190909090909</v>
      </c>
      <c r="R281" s="21">
        <f>INDEX('Bonds ANBIMA'!$H:$H,MATCH(Base!$B263,'Bonds ANBIMA'!$A:$A,0))</f>
        <v>0.79166666666666663</v>
      </c>
      <c r="S281" s="7">
        <f>INDEX('Debêntures ANBIMA'!$O:$O,MATCH(Base!$B263,'Debêntures ANBIMA'!$A:$A,0))</f>
        <v>568.24089808413794</v>
      </c>
      <c r="T281" s="24">
        <f>INDEX('Debêntures ANBIMA'!$P:$P,MATCH(Base!$B263,'Debêntures ANBIMA'!$A:$A,0))</f>
        <v>0.46520214713834979</v>
      </c>
    </row>
    <row r="282" spans="1:20" x14ac:dyDescent="0.35">
      <c r="A282">
        <f>YEAR(B282)</f>
        <v>2019</v>
      </c>
      <c r="B282" s="12">
        <f>DATE(YEAR(G282),MONTH(G282),DAY(1))</f>
        <v>43556</v>
      </c>
      <c r="C282">
        <f>IF(E282&lt;&gt;E281,C281+1,C281)</f>
        <v>31</v>
      </c>
      <c r="D282" s="6" t="s">
        <v>323</v>
      </c>
      <c r="E282" s="6" t="s">
        <v>127</v>
      </c>
      <c r="F282" s="6" t="s">
        <v>346</v>
      </c>
      <c r="G282" s="1">
        <v>43570</v>
      </c>
      <c r="H282" s="1">
        <v>45762</v>
      </c>
      <c r="I282" s="7">
        <f>IF(H282-G282&gt;(365*5),1,0)</f>
        <v>1</v>
      </c>
      <c r="J282" s="22">
        <v>1</v>
      </c>
      <c r="K282" s="9" t="str">
        <f>IF($N282="USD",INDEX('Dólar Spot'!$C:$C,MATCH(Base!$G264,'Dólar Spot'!$A:$A,0)),"")</f>
        <v/>
      </c>
      <c r="L282" s="8">
        <v>62500000</v>
      </c>
      <c r="M282" s="7">
        <f>IF(N282="USD",L282*K282/1000000,L282/1000000)</f>
        <v>62.5</v>
      </c>
      <c r="N282" s="6" t="s">
        <v>348</v>
      </c>
      <c r="O282" s="9" t="str" cm="1">
        <f t="array" ref="O282">INDEX(Ratings!$B$2:$L$42,_xlfn.XMATCH(Base!E264,Ratings!$A$2:$A$42),_xlfn.XMATCH(YEAR(Base!G264),Ratings!$B$1:$L$1))</f>
        <v>NR</v>
      </c>
      <c r="P282">
        <f>IF(AND(O282&lt;&gt;"BBB-",O282&lt;&gt;"BBB",O282&lt;&gt;"BBB+"),0,1)</f>
        <v>0</v>
      </c>
      <c r="Q282" s="7">
        <f>INDEX('Bonds ANBIMA'!$F:$F,MATCH(Base!$B264,'Bonds ANBIMA'!$A:$A,0))</f>
        <v>1628.7511256410257</v>
      </c>
      <c r="R282" s="21">
        <f>INDEX('Bonds ANBIMA'!$H:$H,MATCH(Base!$B264,'Bonds ANBIMA'!$A:$A,0))</f>
        <v>0.5862068965517242</v>
      </c>
      <c r="S282" s="7">
        <f>INDEX('Debêntures ANBIMA'!$O:$O,MATCH(Base!$B264,'Debêntures ANBIMA'!$A:$A,0))</f>
        <v>365.56824120665999</v>
      </c>
      <c r="T282" s="24">
        <f>INDEX('Debêntures ANBIMA'!$P:$P,MATCH(Base!$B264,'Debêntures ANBIMA'!$A:$A,0))</f>
        <v>0.87989059175080986</v>
      </c>
    </row>
    <row r="283" spans="1:20" x14ac:dyDescent="0.35">
      <c r="A283">
        <f>YEAR(B283)</f>
        <v>2021</v>
      </c>
      <c r="B283" s="12">
        <f>DATE(YEAR(G283),MONTH(G283),DAY(1))</f>
        <v>44287</v>
      </c>
      <c r="C283">
        <f>IF(E283&lt;&gt;E282,C282+1,C282)</f>
        <v>31</v>
      </c>
      <c r="D283" s="6" t="s">
        <v>323</v>
      </c>
      <c r="E283" s="6" t="s">
        <v>127</v>
      </c>
      <c r="F283" s="6" t="s">
        <v>346</v>
      </c>
      <c r="G283" s="1">
        <v>44301</v>
      </c>
      <c r="H283" s="1">
        <v>47953</v>
      </c>
      <c r="I283" s="7">
        <f>IF(H283-G283&gt;(365*5),1,0)</f>
        <v>1</v>
      </c>
      <c r="J283" s="22">
        <v>1</v>
      </c>
      <c r="K283" s="9" t="str">
        <f>IF($N283="USD",INDEX('Dólar Spot'!$C:$C,MATCH(Base!$G265,'Dólar Spot'!$A:$A,0)),"")</f>
        <v/>
      </c>
      <c r="L283" s="8">
        <v>916381000</v>
      </c>
      <c r="M283" s="7">
        <f>IF(N283="USD",L283*K283/1000000,L283/1000000)</f>
        <v>916.38099999999997</v>
      </c>
      <c r="N283" s="6" t="s">
        <v>347</v>
      </c>
      <c r="O283" s="9" t="str" cm="1">
        <f t="array" ref="O283">INDEX(Ratings!$B$2:$L$42,_xlfn.XMATCH(Base!E265,Ratings!$A$2:$A$42),_xlfn.XMATCH(YEAR(Base!G265),Ratings!$B$1:$L$1))</f>
        <v>BB-</v>
      </c>
      <c r="P283">
        <f>IF(AND(O283&lt;&gt;"BBB-",O283&lt;&gt;"BBB",O283&lt;&gt;"BBB+"),0,1)</f>
        <v>0</v>
      </c>
      <c r="Q283" s="7">
        <f>INDEX('Bonds ANBIMA'!$F:$F,MATCH(Base!$B265,'Bonds ANBIMA'!$A:$A,0))</f>
        <v>4864.67</v>
      </c>
      <c r="R283" s="21">
        <f>INDEX('Bonds ANBIMA'!$H:$H,MATCH(Base!$B265,'Bonds ANBIMA'!$A:$A,0))</f>
        <v>0.85714285714285721</v>
      </c>
      <c r="S283" s="7">
        <f>INDEX('Debêntures ANBIMA'!$O:$O,MATCH(Base!$B265,'Debêntures ANBIMA'!$A:$A,0))</f>
        <v>336.99742476</v>
      </c>
      <c r="T283" s="24">
        <f>INDEX('Debêntures ANBIMA'!$P:$P,MATCH(Base!$B265,'Debêntures ANBIMA'!$A:$A,0))</f>
        <v>0.64497198827378088</v>
      </c>
    </row>
    <row r="284" spans="1:20" x14ac:dyDescent="0.35">
      <c r="A284">
        <f>YEAR(B284)</f>
        <v>2021</v>
      </c>
      <c r="B284" s="12">
        <f>DATE(YEAR(G284),MONTH(G284),DAY(1))</f>
        <v>44470</v>
      </c>
      <c r="C284">
        <f>IF(E284&lt;&gt;E283,C283+1,C283)</f>
        <v>31</v>
      </c>
      <c r="D284" s="6" t="s">
        <v>323</v>
      </c>
      <c r="E284" s="6" t="s">
        <v>127</v>
      </c>
      <c r="F284" s="6" t="s">
        <v>346</v>
      </c>
      <c r="G284" s="1">
        <v>44484</v>
      </c>
      <c r="H284" s="1">
        <v>47041</v>
      </c>
      <c r="I284" s="7">
        <f>IF(H284-G284&gt;(365*5),1,0)</f>
        <v>1</v>
      </c>
      <c r="J284" s="22">
        <v>1</v>
      </c>
      <c r="K284" s="9" t="str">
        <f>IF($N284="USD",INDEX('Dólar Spot'!$C:$C,MATCH(Base!$G266,'Dólar Spot'!$A:$A,0)),"")</f>
        <v/>
      </c>
      <c r="L284" s="8">
        <v>268500000</v>
      </c>
      <c r="M284" s="7">
        <f>IF(N284="USD",L284*K284/1000000,L284/1000000)</f>
        <v>268.5</v>
      </c>
      <c r="N284" s="6" t="s">
        <v>348</v>
      </c>
      <c r="O284" s="9" t="str" cm="1">
        <f t="array" ref="O284">INDEX(Ratings!$B$2:$L$42,_xlfn.XMATCH(Base!E266,Ratings!$A$2:$A$42),_xlfn.XMATCH(YEAR(Base!G266),Ratings!$B$1:$L$1))</f>
        <v>NR</v>
      </c>
      <c r="P284">
        <f>IF(AND(O284&lt;&gt;"BBB-",O284&lt;&gt;"BBB",O284&lt;&gt;"BBB+"),0,1)</f>
        <v>0</v>
      </c>
      <c r="Q284" s="7">
        <f>INDEX('Bonds ANBIMA'!$F:$F,MATCH(Base!$B266,'Bonds ANBIMA'!$A:$A,0))</f>
        <v>3423.8772727272722</v>
      </c>
      <c r="R284" s="21">
        <f>INDEX('Bonds ANBIMA'!$H:$H,MATCH(Base!$B266,'Bonds ANBIMA'!$A:$A,0))</f>
        <v>0.5714285714285714</v>
      </c>
      <c r="S284" s="7">
        <f>INDEX('Debêntures ANBIMA'!$O:$O,MATCH(Base!$B266,'Debêntures ANBIMA'!$A:$A,0))</f>
        <v>313.18954558823532</v>
      </c>
      <c r="T284" s="24">
        <f>INDEX('Debêntures ANBIMA'!$P:$P,MATCH(Base!$B266,'Debêntures ANBIMA'!$A:$A,0))</f>
        <v>0.82799998804889829</v>
      </c>
    </row>
    <row r="285" spans="1:20" x14ac:dyDescent="0.35">
      <c r="A285">
        <f>YEAR(B285)</f>
        <v>2019</v>
      </c>
      <c r="B285" s="12">
        <f>DATE(YEAR(G285),MONTH(G285),DAY(1))</f>
        <v>43739</v>
      </c>
      <c r="C285">
        <f>IF(E285&lt;&gt;E284,C284+1,C284)</f>
        <v>31</v>
      </c>
      <c r="D285" s="6" t="s">
        <v>323</v>
      </c>
      <c r="E285" s="6" t="s">
        <v>127</v>
      </c>
      <c r="F285" s="6" t="s">
        <v>346</v>
      </c>
      <c r="G285" s="1">
        <v>43753</v>
      </c>
      <c r="H285" s="1">
        <v>46310</v>
      </c>
      <c r="I285" s="7">
        <f>IF(H285-G285&gt;(365*5),1,0)</f>
        <v>1</v>
      </c>
      <c r="J285" s="22">
        <v>1</v>
      </c>
      <c r="K285" s="9" t="str">
        <f>IF($N285="USD",INDEX('Dólar Spot'!$C:$C,MATCH(Base!$G267,'Dólar Spot'!$A:$A,0)),"")</f>
        <v/>
      </c>
      <c r="L285" s="8">
        <v>149600000</v>
      </c>
      <c r="M285" s="7">
        <f>IF(N285="USD",L285*K285/1000000,L285/1000000)</f>
        <v>149.6</v>
      </c>
      <c r="N285" s="6" t="s">
        <v>347</v>
      </c>
      <c r="O285" s="9" t="str" cm="1">
        <f t="array" ref="O285">INDEX(Ratings!$B$2:$L$42,_xlfn.XMATCH(Base!E267,Ratings!$A$2:$A$42),_xlfn.XMATCH(YEAR(Base!G267),Ratings!$B$1:$L$1))</f>
        <v>NR</v>
      </c>
      <c r="P285">
        <f>IF(AND(O285&lt;&gt;"BBB-",O285&lt;&gt;"BBB",O285&lt;&gt;"BBB+"),0,1)</f>
        <v>0</v>
      </c>
      <c r="Q285" s="7">
        <f>INDEX('Bonds ANBIMA'!$F:$F,MATCH(Base!$B267,'Bonds ANBIMA'!$A:$A,0))</f>
        <v>1041.7998809523808</v>
      </c>
      <c r="R285" s="21">
        <f>INDEX('Bonds ANBIMA'!$H:$H,MATCH(Base!$B267,'Bonds ANBIMA'!$A:$A,0))</f>
        <v>0.88900000000000001</v>
      </c>
      <c r="S285" s="7">
        <f>INDEX('Debêntures ANBIMA'!$O:$O,MATCH(Base!$B267,'Debêntures ANBIMA'!$A:$A,0))</f>
        <v>287.34284210526317</v>
      </c>
      <c r="T285" s="24">
        <f>INDEX('Debêntures ANBIMA'!$P:$P,MATCH(Base!$B267,'Debêntures ANBIMA'!$A:$A,0))</f>
        <v>0.64590629073898931</v>
      </c>
    </row>
    <row r="286" spans="1:20" x14ac:dyDescent="0.35">
      <c r="A286">
        <f>YEAR(B286)</f>
        <v>2014</v>
      </c>
      <c r="B286" s="12">
        <f>DATE(YEAR(G286),MONTH(G286),DAY(1))</f>
        <v>41760</v>
      </c>
      <c r="C286">
        <f>IF(E286&lt;&gt;E285,C285+1,C285)</f>
        <v>31</v>
      </c>
      <c r="D286" s="6" t="s">
        <v>323</v>
      </c>
      <c r="E286" s="6" t="s">
        <v>127</v>
      </c>
      <c r="F286" s="6" t="s">
        <v>346</v>
      </c>
      <c r="G286" s="1">
        <v>41768</v>
      </c>
      <c r="H286" s="1">
        <v>43960</v>
      </c>
      <c r="I286" s="7">
        <f>IF(H286-G286&gt;(365*5),1,0)</f>
        <v>1</v>
      </c>
      <c r="J286" s="22">
        <v>1</v>
      </c>
      <c r="K286" s="9" t="str">
        <f>IF($N286="USD",INDEX('Dólar Spot'!$C:$C,MATCH(Base!$G268,'Dólar Spot'!$A:$A,0)),"")</f>
        <v/>
      </c>
      <c r="L286" s="8">
        <v>750000000</v>
      </c>
      <c r="M286" s="7">
        <f>IF(N286="USD",L286*K286/1000000,L286/1000000)</f>
        <v>750</v>
      </c>
      <c r="N286" s="6" t="s">
        <v>348</v>
      </c>
      <c r="O286" s="9" t="str" cm="1">
        <f t="array" ref="O286">INDEX(Ratings!$B$2:$L$42,_xlfn.XMATCH(Base!E268,Ratings!$A$2:$A$42),_xlfn.XMATCH(YEAR(Base!G268),Ratings!$B$1:$L$1))</f>
        <v>NR</v>
      </c>
      <c r="P286">
        <f>IF(AND(O286&lt;&gt;"BBB-",O286&lt;&gt;"BBB",O286&lt;&gt;"BBB+"),0,1)</f>
        <v>0</v>
      </c>
      <c r="Q286" s="7">
        <f>INDEX('Bonds ANBIMA'!$F:$F,MATCH(Base!$B268,'Bonds ANBIMA'!$A:$A,0))</f>
        <v>3031.1061904761905</v>
      </c>
      <c r="R286" s="21">
        <f>INDEX('Bonds ANBIMA'!$H:$H,MATCH(Base!$B268,'Bonds ANBIMA'!$A:$A,0))</f>
        <v>0.9</v>
      </c>
      <c r="S286" s="7">
        <f>INDEX('Debêntures ANBIMA'!$O:$O,MATCH(Base!$B268,'Debêntures ANBIMA'!$A:$A,0))</f>
        <v>357.79854054054056</v>
      </c>
      <c r="T286" s="24">
        <f>INDEX('Debêntures ANBIMA'!$P:$P,MATCH(Base!$B268,'Debêntures ANBIMA'!$A:$A,0))</f>
        <v>0.81983307170430497</v>
      </c>
    </row>
    <row r="287" spans="1:20" x14ac:dyDescent="0.35">
      <c r="A287">
        <f>YEAR(B287)</f>
        <v>2011</v>
      </c>
      <c r="B287" s="12">
        <f>DATE(YEAR(G287),MONTH(G287),DAY(1))</f>
        <v>40664</v>
      </c>
      <c r="C287">
        <f>IF(E287&lt;&gt;E286,C286+1,C286)</f>
        <v>31</v>
      </c>
      <c r="D287" s="6" t="s">
        <v>323</v>
      </c>
      <c r="E287" s="6" t="s">
        <v>127</v>
      </c>
      <c r="F287" s="6" t="s">
        <v>346</v>
      </c>
      <c r="G287" s="1">
        <v>40665</v>
      </c>
      <c r="H287" s="1">
        <v>41985</v>
      </c>
      <c r="I287" s="7">
        <f>IF(H287-G287&gt;(365*5),1,0)</f>
        <v>0</v>
      </c>
      <c r="J287" s="22">
        <v>1</v>
      </c>
      <c r="K287" s="9" t="str">
        <f>IF($N287="USD",INDEX('Dólar Spot'!$C:$C,MATCH(Base!$G269,'Dólar Spot'!$A:$A,0)),"")</f>
        <v/>
      </c>
      <c r="L287" s="8">
        <v>650000000</v>
      </c>
      <c r="M287" s="7">
        <f>IF(N287="USD",L287*K287/1000000,L287/1000000)</f>
        <v>650</v>
      </c>
      <c r="N287" s="6" t="s">
        <v>348</v>
      </c>
      <c r="O287" s="9" t="str" cm="1">
        <f t="array" ref="O287">INDEX(Ratings!$B$2:$L$42,_xlfn.XMATCH(Base!E269,Ratings!$A$2:$A$42),_xlfn.XMATCH(YEAR(Base!G269),Ratings!$B$1:$L$1))</f>
        <v>BB-</v>
      </c>
      <c r="P287">
        <f>IF(AND(O287&lt;&gt;"BBB-",O287&lt;&gt;"BBB",O287&lt;&gt;"BBB+"),0,1)</f>
        <v>0</v>
      </c>
      <c r="Q287" s="7">
        <f>INDEX('Bonds ANBIMA'!$F:$F,MATCH(Base!$B269,'Bonds ANBIMA'!$A:$A,0))</f>
        <v>0</v>
      </c>
      <c r="R287" s="21">
        <f>INDEX('Bonds ANBIMA'!$H:$H,MATCH(Base!$B269,'Bonds ANBIMA'!$A:$A,0))</f>
        <v>0.76923076923076916</v>
      </c>
      <c r="S287" s="7">
        <f>INDEX('Debêntures ANBIMA'!$O:$O,MATCH(Base!$B269,'Debêntures ANBIMA'!$A:$A,0))</f>
        <v>400.59090909090907</v>
      </c>
      <c r="T287" s="24">
        <f>INDEX('Debêntures ANBIMA'!$P:$P,MATCH(Base!$B269,'Debêntures ANBIMA'!$A:$A,0))</f>
        <v>0.62046364051464531</v>
      </c>
    </row>
    <row r="288" spans="1:20" x14ac:dyDescent="0.35">
      <c r="A288">
        <f>YEAR(B288)</f>
        <v>2013</v>
      </c>
      <c r="B288" s="12">
        <f>DATE(YEAR(G288),MONTH(G288),DAY(1))</f>
        <v>41426</v>
      </c>
      <c r="C288">
        <f>IF(E288&lt;&gt;E287,C287+1,C287)</f>
        <v>31</v>
      </c>
      <c r="D288" s="6" t="s">
        <v>323</v>
      </c>
      <c r="E288" s="6" t="s">
        <v>127</v>
      </c>
      <c r="F288" s="6" t="s">
        <v>346</v>
      </c>
      <c r="G288" s="1">
        <v>41440</v>
      </c>
      <c r="H288" s="1">
        <v>44331</v>
      </c>
      <c r="I288" s="7">
        <f>IF(H288-G288&gt;(365*5),1,0)</f>
        <v>1</v>
      </c>
      <c r="J288" s="22">
        <v>1</v>
      </c>
      <c r="K288" s="9" t="str">
        <f>IF($N288="USD",INDEX('Dólar Spot'!$C:$C,MATCH(Base!$G270,'Dólar Spot'!$A:$A,0)),"")</f>
        <v/>
      </c>
      <c r="L288" s="8">
        <v>1000000000</v>
      </c>
      <c r="M288" s="7">
        <f>IF(N288="USD",L288*K288/1000000,L288/1000000)</f>
        <v>1000</v>
      </c>
      <c r="N288" s="6" t="s">
        <v>348</v>
      </c>
      <c r="O288" s="9" t="str" cm="1">
        <f t="array" ref="O288">INDEX(Ratings!$B$2:$L$42,_xlfn.XMATCH(Base!E270,Ratings!$A$2:$A$42),_xlfn.XMATCH(YEAR(Base!G270),Ratings!$B$1:$L$1))</f>
        <v>BB-</v>
      </c>
      <c r="P288">
        <f>IF(AND(O288&lt;&gt;"BBB-",O288&lt;&gt;"BBB",O288&lt;&gt;"BBB+"),0,1)</f>
        <v>0</v>
      </c>
      <c r="Q288" s="7">
        <f>INDEX('Bonds ANBIMA'!$F:$F,MATCH(Base!$B270,'Bonds ANBIMA'!$A:$A,0))</f>
        <v>1878.9022727272729</v>
      </c>
      <c r="R288" s="21">
        <f>INDEX('Bonds ANBIMA'!$H:$H,MATCH(Base!$B270,'Bonds ANBIMA'!$A:$A,0))</f>
        <v>0.76190476190476186</v>
      </c>
      <c r="S288" s="7">
        <f>INDEX('Debêntures ANBIMA'!$O:$O,MATCH(Base!$B270,'Debêntures ANBIMA'!$A:$A,0))</f>
        <v>209.83</v>
      </c>
      <c r="T288" s="24">
        <f>INDEX('Debêntures ANBIMA'!$P:$P,MATCH(Base!$B270,'Debêntures ANBIMA'!$A:$A,0))</f>
        <v>0.84594032589608081</v>
      </c>
    </row>
    <row r="289" spans="1:20" x14ac:dyDescent="0.35">
      <c r="A289">
        <f>YEAR(B289)</f>
        <v>2013</v>
      </c>
      <c r="B289" s="12">
        <f>DATE(YEAR(G289),MONTH(G289),DAY(1))</f>
        <v>41426</v>
      </c>
      <c r="C289">
        <f>IF(E289&lt;&gt;E288,C288+1,C288)</f>
        <v>31</v>
      </c>
      <c r="D289" s="6" t="s">
        <v>323</v>
      </c>
      <c r="E289" s="6" t="s">
        <v>127</v>
      </c>
      <c r="F289" s="6" t="s">
        <v>346</v>
      </c>
      <c r="G289" s="1">
        <v>41440</v>
      </c>
      <c r="H289" s="1">
        <v>45061</v>
      </c>
      <c r="I289" s="7">
        <f>IF(H289-G289&gt;(365*5),1,0)</f>
        <v>1</v>
      </c>
      <c r="J289" s="22">
        <v>1</v>
      </c>
      <c r="K289" s="9" t="str">
        <f>IF($N289="USD",INDEX('Dólar Spot'!$C:$C,MATCH(Base!$G271,'Dólar Spot'!$A:$A,0)),"")</f>
        <v/>
      </c>
      <c r="L289" s="8">
        <v>600000000</v>
      </c>
      <c r="M289" s="7">
        <f>IF(N289="USD",L289*K289/1000000,L289/1000000)</f>
        <v>600</v>
      </c>
      <c r="N289" s="6" t="s">
        <v>347</v>
      </c>
      <c r="O289" s="9" t="str" cm="1">
        <f t="array" ref="O289">INDEX(Ratings!$B$2:$L$42,_xlfn.XMATCH(Base!E271,Ratings!$A$2:$A$42),_xlfn.XMATCH(YEAR(Base!G271),Ratings!$B$1:$L$1))</f>
        <v>BB-</v>
      </c>
      <c r="P289">
        <f>IF(AND(O289&lt;&gt;"BBB-",O289&lt;&gt;"BBB",O289&lt;&gt;"BBB+"),0,1)</f>
        <v>0</v>
      </c>
      <c r="Q289" s="7">
        <f>INDEX('Bonds ANBIMA'!$F:$F,MATCH(Base!$B271,'Bonds ANBIMA'!$A:$A,0))</f>
        <v>4544.8166666666657</v>
      </c>
      <c r="R289" s="21">
        <f>INDEX('Bonds ANBIMA'!$H:$H,MATCH(Base!$B271,'Bonds ANBIMA'!$A:$A,0))</f>
        <v>0.83333333333333337</v>
      </c>
      <c r="S289" s="7">
        <f>INDEX('Debêntures ANBIMA'!$O:$O,MATCH(Base!$B271,'Debêntures ANBIMA'!$A:$A,0))</f>
        <v>405.99201704000006</v>
      </c>
      <c r="T289" s="24">
        <f>INDEX('Debêntures ANBIMA'!$P:$P,MATCH(Base!$B271,'Debêntures ANBIMA'!$A:$A,0))</f>
        <v>0.92399320653021089</v>
      </c>
    </row>
    <row r="290" spans="1:20" x14ac:dyDescent="0.35">
      <c r="A290">
        <f>YEAR(B290)</f>
        <v>2021</v>
      </c>
      <c r="B290" s="12">
        <f>DATE(YEAR(G290),MONTH(G290),DAY(1))</f>
        <v>44348</v>
      </c>
      <c r="C290">
        <f>IF(E290&lt;&gt;E289,C289+1,C289)</f>
        <v>31</v>
      </c>
      <c r="D290" s="6" t="s">
        <v>128</v>
      </c>
      <c r="E290" s="6" t="s">
        <v>127</v>
      </c>
      <c r="F290" s="6" t="s">
        <v>233</v>
      </c>
      <c r="G290" s="1">
        <v>44365</v>
      </c>
      <c r="H290" s="1" t="s">
        <v>129</v>
      </c>
      <c r="I290" s="7">
        <f>IF(H290-G290&gt;(365*5),1,0)</f>
        <v>1</v>
      </c>
      <c r="J290" s="22">
        <v>1</v>
      </c>
      <c r="K290" s="9" t="e">
        <f>IF($N290="USD",INDEX('Dólar Spot'!$C:$C,MATCH(Base!$G238,'Dólar Spot'!$A:$A,0)),"")</f>
        <v>#N/A</v>
      </c>
      <c r="L290" s="8">
        <v>600000000</v>
      </c>
      <c r="M290" s="7" t="e">
        <f>IF(N290="USD",L290*K290/1000000,L290/1000000)</f>
        <v>#N/A</v>
      </c>
      <c r="N290" s="6" t="s">
        <v>16</v>
      </c>
      <c r="O290" s="9" t="str" cm="1">
        <f t="array" ref="O290">INDEX(Ratings!$B$2:$L$42,_xlfn.XMATCH(Base!E238,Ratings!$A$2:$A$42),_xlfn.XMATCH(YEAR(Base!G238),Ratings!$B$1:$L$1))</f>
        <v>BB</v>
      </c>
      <c r="P290">
        <f>IF(AND(O290&lt;&gt;"BBB-",O290&lt;&gt;"BBB",O290&lt;&gt;"BBB+"),0,1)</f>
        <v>0</v>
      </c>
      <c r="Q290" s="7">
        <f>INDEX('Bonds ANBIMA'!$F:$F,MATCH(Base!$B238,'Bonds ANBIMA'!$A:$A,0))</f>
        <v>1952.3304406451612</v>
      </c>
      <c r="R290" s="21">
        <f>INDEX('Bonds ANBIMA'!$H:$H,MATCH(Base!$B238,'Bonds ANBIMA'!$A:$A,0))</f>
        <v>0.7592592592592593</v>
      </c>
      <c r="S290" s="7">
        <f>INDEX('Debêntures ANBIMA'!$O:$O,MATCH(Base!$B238,'Debêntures ANBIMA'!$A:$A,0))</f>
        <v>1225.43</v>
      </c>
      <c r="T290" s="24">
        <f>INDEX('Debêntures ANBIMA'!$P:$P,MATCH(Base!$B238,'Debêntures ANBIMA'!$A:$A,0))</f>
        <v>0.93229370867656214</v>
      </c>
    </row>
    <row r="291" spans="1:20" x14ac:dyDescent="0.35">
      <c r="A291">
        <f>YEAR(B291)</f>
        <v>2018</v>
      </c>
      <c r="B291" s="12">
        <f>DATE(YEAR(G291),MONTH(G291),DAY(1))</f>
        <v>43221</v>
      </c>
      <c r="C291">
        <f>IF(E291&lt;&gt;E290,C290+1,C290)</f>
        <v>31</v>
      </c>
      <c r="D291" s="6" t="s">
        <v>128</v>
      </c>
      <c r="E291" s="6" t="s">
        <v>127</v>
      </c>
      <c r="F291" s="6" t="s">
        <v>233</v>
      </c>
      <c r="G291" s="1">
        <v>43222</v>
      </c>
      <c r="H291" s="1" t="s">
        <v>130</v>
      </c>
      <c r="I291" s="7">
        <f>IF(H291-G291&gt;(365*5),1,0)</f>
        <v>1</v>
      </c>
      <c r="J291" s="22">
        <v>1</v>
      </c>
      <c r="K291" s="9">
        <f>IF($N291="USD",INDEX('Dólar Spot'!$C:$C,MATCH(Base!$G239,'Dólar Spot'!$A:$A,0)),"")</f>
        <v>2.6711</v>
      </c>
      <c r="L291" s="8">
        <v>600000000</v>
      </c>
      <c r="M291" s="7">
        <f>IF(N291="USD",L291*K291/1000000,L291/1000000)</f>
        <v>1602.66</v>
      </c>
      <c r="N291" s="6" t="s">
        <v>16</v>
      </c>
      <c r="O291" s="9" t="str" cm="1">
        <f t="array" ref="O291">INDEX(Ratings!$B$2:$L$42,_xlfn.XMATCH(Base!E239,Ratings!$A$2:$A$42),_xlfn.XMATCH(YEAR(Base!G239),Ratings!$B$1:$L$1))</f>
        <v>BB</v>
      </c>
      <c r="P291">
        <f>IF(AND(O291&lt;&gt;"BBB-",O291&lt;&gt;"BBB",O291&lt;&gt;"BBB+"),0,1)</f>
        <v>0</v>
      </c>
      <c r="Q291" s="7">
        <f>INDEX('Bonds ANBIMA'!$F:$F,MATCH(Base!$B239,'Bonds ANBIMA'!$A:$A,0))</f>
        <v>2305.1490149560118</v>
      </c>
      <c r="R291" s="21">
        <f>INDEX('Bonds ANBIMA'!$H:$H,MATCH(Base!$B239,'Bonds ANBIMA'!$A:$A,0))</f>
        <v>0.7592592592592593</v>
      </c>
      <c r="S291" s="7">
        <f>INDEX('Debêntures ANBIMA'!$O:$O,MATCH(Base!$B239,'Debêntures ANBIMA'!$A:$A,0))</f>
        <v>173.79140893333334</v>
      </c>
      <c r="T291" s="24">
        <f>INDEX('Debêntures ANBIMA'!$P:$P,MATCH(Base!$B239,'Debêntures ANBIMA'!$A:$A,0))</f>
        <v>0.58460646271963723</v>
      </c>
    </row>
    <row r="292" spans="1:20" x14ac:dyDescent="0.35">
      <c r="A292">
        <f>YEAR(B292)</f>
        <v>2021</v>
      </c>
      <c r="B292" s="12">
        <f>DATE(YEAR(G292),MONTH(G292),DAY(1))</f>
        <v>44197</v>
      </c>
      <c r="C292">
        <f>IF(E292&lt;&gt;E291,C291+1,C291)</f>
        <v>32</v>
      </c>
      <c r="D292" s="6" t="s">
        <v>132</v>
      </c>
      <c r="E292" s="6" t="s">
        <v>131</v>
      </c>
      <c r="F292" s="6" t="s">
        <v>233</v>
      </c>
      <c r="G292" s="1">
        <v>44225</v>
      </c>
      <c r="H292" s="1" t="s">
        <v>133</v>
      </c>
      <c r="I292" s="7">
        <f>IF(H292-G292&gt;(365*5),1,0)</f>
        <v>1</v>
      </c>
      <c r="J292" s="22">
        <v>1</v>
      </c>
      <c r="K292" s="9">
        <f>IF($N292="USD",INDEX('Dólar Spot'!$C:$C,MATCH(Base!$G272,'Dólar Spot'!$A:$A,0)),"")</f>
        <v>4.1482000000000001</v>
      </c>
      <c r="L292" s="8">
        <v>1500000000</v>
      </c>
      <c r="M292" s="7">
        <f>IF(N292="USD",L292*K292/1000000,L292/1000000)</f>
        <v>6222.3</v>
      </c>
      <c r="N292" s="6" t="s">
        <v>16</v>
      </c>
      <c r="O292" s="9" t="str" cm="1">
        <f t="array" ref="O292">INDEX(Ratings!$B$2:$L$42,_xlfn.XMATCH(Base!E272,Ratings!$A$2:$A$42),_xlfn.XMATCH(YEAR(Base!G272),Ratings!$B$1:$L$1))</f>
        <v>BB-</v>
      </c>
      <c r="P292">
        <f>IF(AND(O292&lt;&gt;"BBB-",O292&lt;&gt;"BBB",O292&lt;&gt;"BBB+"),0,1)</f>
        <v>0</v>
      </c>
      <c r="Q292" s="7">
        <f>INDEX('Bonds ANBIMA'!$F:$F,MATCH(Base!$B272,'Bonds ANBIMA'!$A:$A,0))</f>
        <v>1716.2825217391307</v>
      </c>
      <c r="R292" s="21">
        <f>INDEX('Bonds ANBIMA'!$H:$H,MATCH(Base!$B272,'Bonds ANBIMA'!$A:$A,0))</f>
        <v>0.8</v>
      </c>
      <c r="S292" s="7">
        <f>INDEX('Debêntures ANBIMA'!$O:$O,MATCH(Base!$B272,'Debêntures ANBIMA'!$A:$A,0))</f>
        <v>367.76637837837836</v>
      </c>
      <c r="T292" s="24">
        <f>INDEX('Debêntures ANBIMA'!$P:$P,MATCH(Base!$B272,'Debêntures ANBIMA'!$A:$A,0))</f>
        <v>0.60073138807402171</v>
      </c>
    </row>
    <row r="293" spans="1:20" x14ac:dyDescent="0.35">
      <c r="A293">
        <f>YEAR(B293)</f>
        <v>2018</v>
      </c>
      <c r="B293" s="12">
        <f>DATE(YEAR(G293),MONTH(G293),DAY(1))</f>
        <v>43101</v>
      </c>
      <c r="C293">
        <f>IF(E293&lt;&gt;E292,C292+1,C292)</f>
        <v>32</v>
      </c>
      <c r="D293" s="6" t="s">
        <v>132</v>
      </c>
      <c r="E293" s="6" t="s">
        <v>131</v>
      </c>
      <c r="F293" s="6" t="s">
        <v>233</v>
      </c>
      <c r="G293" s="1">
        <v>43119</v>
      </c>
      <c r="H293" s="1" t="s">
        <v>134</v>
      </c>
      <c r="I293" s="7">
        <f>IF(H293-G293&gt;(365*5),1,0)</f>
        <v>1</v>
      </c>
      <c r="J293" s="22">
        <v>1</v>
      </c>
      <c r="K293" s="9">
        <f>IF($N293="USD",INDEX('Dólar Spot'!$C:$C,MATCH(Base!$G273,'Dólar Spot'!$A:$A,0)),"")</f>
        <v>5.2572999999999999</v>
      </c>
      <c r="L293" s="8">
        <v>1000000000</v>
      </c>
      <c r="M293" s="7">
        <f>IF(N293="USD",L293*K293/1000000,L293/1000000)</f>
        <v>5257.3</v>
      </c>
      <c r="N293" s="6" t="s">
        <v>16</v>
      </c>
      <c r="O293" s="9" t="str" cm="1">
        <f t="array" ref="O293">INDEX(Ratings!$B$2:$L$42,_xlfn.XMATCH(Base!E273,Ratings!$A$2:$A$42),_xlfn.XMATCH(YEAR(Base!G273),Ratings!$B$1:$L$1))</f>
        <v>BB-</v>
      </c>
      <c r="P293">
        <f>IF(AND(O293&lt;&gt;"BBB-",O293&lt;&gt;"BBB",O293&lt;&gt;"BBB+"),0,1)</f>
        <v>0</v>
      </c>
      <c r="Q293" s="7">
        <f>INDEX('Bonds ANBIMA'!$F:$F,MATCH(Base!$B273,'Bonds ANBIMA'!$A:$A,0))</f>
        <v>0</v>
      </c>
      <c r="R293" s="21">
        <f>INDEX('Bonds ANBIMA'!$H:$H,MATCH(Base!$B273,'Bonds ANBIMA'!$A:$A,0))</f>
        <v>0.69230769230769229</v>
      </c>
      <c r="S293" s="7">
        <f>INDEX('Debêntures ANBIMA'!$O:$O,MATCH(Base!$B273,'Debêntures ANBIMA'!$A:$A,0))</f>
        <v>388.82487878787879</v>
      </c>
      <c r="T293" s="24">
        <f>INDEX('Debêntures ANBIMA'!$P:$P,MATCH(Base!$B273,'Debêntures ANBIMA'!$A:$A,0))</f>
        <v>0.42853613627928244</v>
      </c>
    </row>
    <row r="294" spans="1:20" x14ac:dyDescent="0.35">
      <c r="A294">
        <f>YEAR(B294)</f>
        <v>2017</v>
      </c>
      <c r="B294" s="12">
        <f>DATE(YEAR(G294),MONTH(G294),DAY(1))</f>
        <v>42795</v>
      </c>
      <c r="C294">
        <f>IF(E294&lt;&gt;E293,C293+1,C293)</f>
        <v>32</v>
      </c>
      <c r="D294" s="6" t="s">
        <v>132</v>
      </c>
      <c r="E294" s="6" t="s">
        <v>131</v>
      </c>
      <c r="F294" s="6" t="s">
        <v>233</v>
      </c>
      <c r="G294" s="1">
        <v>42809</v>
      </c>
      <c r="H294" s="1" t="s">
        <v>135</v>
      </c>
      <c r="I294" s="7">
        <f>IF(H294-G294&gt;(365*5),1,0)</f>
        <v>1</v>
      </c>
      <c r="J294" s="22">
        <v>1</v>
      </c>
      <c r="K294" s="9">
        <f>IF($N294="USD",INDEX('Dólar Spot'!$C:$C,MATCH(Base!$G274,'Dólar Spot'!$A:$A,0)),"")</f>
        <v>5.1771000000000003</v>
      </c>
      <c r="L294" s="8">
        <v>750000000</v>
      </c>
      <c r="M294" s="7">
        <f>IF(N294="USD",L294*K294/1000000,L294/1000000)</f>
        <v>3882.8249999999998</v>
      </c>
      <c r="N294" s="6" t="s">
        <v>16</v>
      </c>
      <c r="O294" s="9" t="str" cm="1">
        <f t="array" ref="O294">INDEX(Ratings!$B$2:$L$42,_xlfn.XMATCH(Base!E274,Ratings!$A$2:$A$42),_xlfn.XMATCH(YEAR(Base!G274),Ratings!$B$1:$L$1))</f>
        <v>BB-</v>
      </c>
      <c r="P294">
        <f>IF(AND(O294&lt;&gt;"BBB-",O294&lt;&gt;"BBB",O294&lt;&gt;"BBB+"),0,1)</f>
        <v>0</v>
      </c>
      <c r="Q294" s="7">
        <f>INDEX('Bonds ANBIMA'!$F:$F,MATCH(Base!$B274,'Bonds ANBIMA'!$A:$A,0))</f>
        <v>2820.1840108695651</v>
      </c>
      <c r="R294" s="21">
        <f>INDEX('Bonds ANBIMA'!$H:$H,MATCH(Base!$B274,'Bonds ANBIMA'!$A:$A,0))</f>
        <v>0.70833333333333326</v>
      </c>
      <c r="S294" s="7">
        <f>INDEX('Debêntures ANBIMA'!$O:$O,MATCH(Base!$B274,'Debêntures ANBIMA'!$A:$A,0))</f>
        <v>302.30131578947368</v>
      </c>
      <c r="T294" s="24">
        <f>INDEX('Debêntures ANBIMA'!$P:$P,MATCH(Base!$B274,'Debêntures ANBIMA'!$A:$A,0))</f>
        <v>0.46990765793883493</v>
      </c>
    </row>
    <row r="295" spans="1:20" x14ac:dyDescent="0.35">
      <c r="A295">
        <f>YEAR(B295)</f>
        <v>2011</v>
      </c>
      <c r="B295" s="12">
        <f>DATE(YEAR(G295),MONTH(G295),DAY(1))</f>
        <v>40544</v>
      </c>
      <c r="C295">
        <f>IF(E295&lt;&gt;E294,C294+1,C294)</f>
        <v>32</v>
      </c>
      <c r="D295" s="6" t="s">
        <v>324</v>
      </c>
      <c r="E295" s="6" t="s">
        <v>131</v>
      </c>
      <c r="F295" s="6" t="s">
        <v>346</v>
      </c>
      <c r="G295" s="1">
        <v>40561</v>
      </c>
      <c r="H295" s="1">
        <v>42022</v>
      </c>
      <c r="I295" s="7">
        <f>IF(H295-G295&gt;(365*5),1,0)</f>
        <v>0</v>
      </c>
      <c r="J295" s="6">
        <v>1</v>
      </c>
      <c r="K295" s="9" t="str">
        <f>IF($N295="USD",INDEX('Dólar Spot'!$C:$C,MATCH(Base!$G282,'Dólar Spot'!$A:$A,0)),"")</f>
        <v/>
      </c>
      <c r="L295" s="8">
        <v>360000000</v>
      </c>
      <c r="M295" s="7">
        <f>IF(N295="USD",L295*K295/1000000,L295/1000000)</f>
        <v>360</v>
      </c>
      <c r="N295" s="6" t="s">
        <v>348</v>
      </c>
      <c r="O295" s="9" t="str" cm="1">
        <f t="array" ref="O295">INDEX(Ratings!$B$2:$L$42,_xlfn.XMATCH(Base!E282,Ratings!$A$2:$A$42),_xlfn.XMATCH(YEAR(Base!G282),Ratings!$B$1:$L$1))</f>
        <v>BB-</v>
      </c>
      <c r="P295">
        <f>IF(AND(O295&lt;&gt;"BBB-",O295&lt;&gt;"BBB",O295&lt;&gt;"BBB+"),0,1)</f>
        <v>0</v>
      </c>
      <c r="Q295" s="7">
        <f>INDEX('Bonds ANBIMA'!$F:$F,MATCH(Base!$B282,'Bonds ANBIMA'!$A:$A,0))</f>
        <v>4544.8166666666657</v>
      </c>
      <c r="R295" s="21">
        <f>INDEX('Bonds ANBIMA'!$H:$H,MATCH(Base!$B282,'Bonds ANBIMA'!$A:$A,0))</f>
        <v>0.83333333333333337</v>
      </c>
      <c r="S295" s="7">
        <f>INDEX('Debêntures ANBIMA'!$O:$O,MATCH(Base!$B282,'Debêntures ANBIMA'!$A:$A,0))</f>
        <v>405.99201704000006</v>
      </c>
      <c r="T295" s="24">
        <f>INDEX('Debêntures ANBIMA'!$P:$P,MATCH(Base!$B282,'Debêntures ANBIMA'!$A:$A,0))</f>
        <v>0.92399320653021089</v>
      </c>
    </row>
    <row r="296" spans="1:20" x14ac:dyDescent="0.35">
      <c r="A296">
        <f>YEAR(B296)</f>
        <v>2011</v>
      </c>
      <c r="B296" s="12">
        <f>DATE(YEAR(G296),MONTH(G296),DAY(1))</f>
        <v>40544</v>
      </c>
      <c r="C296">
        <f>IF(E296&lt;&gt;E295,C295+1,C295)</f>
        <v>32</v>
      </c>
      <c r="D296" s="6" t="s">
        <v>324</v>
      </c>
      <c r="E296" s="6" t="s">
        <v>131</v>
      </c>
      <c r="F296" s="6" t="s">
        <v>346</v>
      </c>
      <c r="G296" s="1">
        <v>40561</v>
      </c>
      <c r="H296" s="1">
        <v>42022</v>
      </c>
      <c r="I296" s="7">
        <f>IF(H296-G296&gt;(365*5),1,0)</f>
        <v>0</v>
      </c>
      <c r="J296" s="6">
        <v>1</v>
      </c>
      <c r="K296" s="9" t="str">
        <f>IF($N296="USD",INDEX('Dólar Spot'!$C:$C,MATCH(Base!$G283,'Dólar Spot'!$A:$A,0)),"")</f>
        <v/>
      </c>
      <c r="L296" s="8">
        <v>238200000</v>
      </c>
      <c r="M296" s="7">
        <f>IF(N296="USD",L296*K296/1000000,L296/1000000)</f>
        <v>238.2</v>
      </c>
      <c r="N296" s="6" t="s">
        <v>347</v>
      </c>
      <c r="O296" s="9" t="str" cm="1">
        <f t="array" ref="O296">INDEX(Ratings!$B$2:$L$42,_xlfn.XMATCH(Base!E283,Ratings!$A$2:$A$42),_xlfn.XMATCH(YEAR(Base!G283),Ratings!$B$1:$L$1))</f>
        <v>BB-</v>
      </c>
      <c r="P296">
        <f>IF(AND(O296&lt;&gt;"BBB-",O296&lt;&gt;"BBB",O296&lt;&gt;"BBB+"),0,1)</f>
        <v>0</v>
      </c>
      <c r="Q296" s="7">
        <f>INDEX('Bonds ANBIMA'!$F:$F,MATCH(Base!$B283,'Bonds ANBIMA'!$A:$A,0))</f>
        <v>0</v>
      </c>
      <c r="R296" s="21">
        <f>INDEX('Bonds ANBIMA'!$H:$H,MATCH(Base!$B283,'Bonds ANBIMA'!$A:$A,0))</f>
        <v>0.83333333333333337</v>
      </c>
      <c r="S296" s="7">
        <f>INDEX('Debêntures ANBIMA'!$O:$O,MATCH(Base!$B283,'Debêntures ANBIMA'!$A:$A,0))</f>
        <v>416.84068888888891</v>
      </c>
      <c r="T296" s="24">
        <f>INDEX('Debêntures ANBIMA'!$P:$P,MATCH(Base!$B283,'Debêntures ANBIMA'!$A:$A,0))</f>
        <v>0.8175482670039157</v>
      </c>
    </row>
    <row r="297" spans="1:20" x14ac:dyDescent="0.35">
      <c r="A297">
        <f>YEAR(B297)</f>
        <v>2016</v>
      </c>
      <c r="B297" s="12">
        <f>DATE(YEAR(G297),MONTH(G297),DAY(1))</f>
        <v>42522</v>
      </c>
      <c r="C297">
        <f>IF(E297&lt;&gt;E296,C296+1,C296)</f>
        <v>32</v>
      </c>
      <c r="D297" s="6" t="s">
        <v>136</v>
      </c>
      <c r="E297" s="6" t="s">
        <v>131</v>
      </c>
      <c r="F297" s="6" t="s">
        <v>233</v>
      </c>
      <c r="G297" s="1">
        <v>42529</v>
      </c>
      <c r="H297" s="1" t="s">
        <v>137</v>
      </c>
      <c r="I297" s="7">
        <f>IF(H297-G297&gt;(365*5),1,0)</f>
        <v>1</v>
      </c>
      <c r="J297" s="22">
        <v>1</v>
      </c>
      <c r="K297" s="9" t="e">
        <f>IF($N297="USD",INDEX('Dólar Spot'!$C:$C,MATCH(Base!$G275,'Dólar Spot'!$A:$A,0)),"")</f>
        <v>#N/A</v>
      </c>
      <c r="L297" s="8">
        <v>750000000</v>
      </c>
      <c r="M297" s="7" t="e">
        <f>IF(N297="USD",L297*K297/1000000,L297/1000000)</f>
        <v>#N/A</v>
      </c>
      <c r="N297" s="6" t="s">
        <v>16</v>
      </c>
      <c r="O297" s="9" t="str" cm="1">
        <f t="array" ref="O297">INDEX(Ratings!$B$2:$L$42,_xlfn.XMATCH(Base!E275,Ratings!$A$2:$A$42),_xlfn.XMATCH(YEAR(Base!G275),Ratings!$B$1:$L$1))</f>
        <v>BB-</v>
      </c>
      <c r="P297">
        <f>IF(AND(O297&lt;&gt;"BBB-",O297&lt;&gt;"BBB",O297&lt;&gt;"BBB+"),0,1)</f>
        <v>0</v>
      </c>
      <c r="Q297" s="7">
        <f>INDEX('Bonds ANBIMA'!$F:$F,MATCH(Base!$B275,'Bonds ANBIMA'!$A:$A,0))</f>
        <v>0</v>
      </c>
      <c r="R297" s="21">
        <f>INDEX('Bonds ANBIMA'!$H:$H,MATCH(Base!$B275,'Bonds ANBIMA'!$A:$A,0))</f>
        <v>0.70833333333333326</v>
      </c>
      <c r="S297" s="7">
        <f>INDEX('Debêntures ANBIMA'!$O:$O,MATCH(Base!$B275,'Debêntures ANBIMA'!$A:$A,0))</f>
        <v>570.38141666666672</v>
      </c>
      <c r="T297" s="24">
        <f>INDEX('Debêntures ANBIMA'!$P:$P,MATCH(Base!$B275,'Debêntures ANBIMA'!$A:$A,0))</f>
        <v>0.61397156617705761</v>
      </c>
    </row>
    <row r="298" spans="1:20" x14ac:dyDescent="0.35">
      <c r="A298">
        <f>YEAR(B298)</f>
        <v>2014</v>
      </c>
      <c r="B298" s="12">
        <f>DATE(YEAR(G298),MONTH(G298),DAY(1))</f>
        <v>41791</v>
      </c>
      <c r="C298">
        <f>IF(E298&lt;&gt;E297,C297+1,C297)</f>
        <v>32</v>
      </c>
      <c r="D298" s="6" t="s">
        <v>136</v>
      </c>
      <c r="E298" s="6" t="s">
        <v>131</v>
      </c>
      <c r="F298" s="6" t="s">
        <v>233</v>
      </c>
      <c r="G298" s="1">
        <v>41814</v>
      </c>
      <c r="H298" s="1" t="s">
        <v>138</v>
      </c>
      <c r="I298" s="7">
        <f>IF(H298-G298&gt;(365*5),1,0)</f>
        <v>1</v>
      </c>
      <c r="J298" s="22">
        <v>1</v>
      </c>
      <c r="K298" s="9">
        <f>IF($N298="USD",INDEX('Dólar Spot'!$C:$C,MATCH(Base!$G276,'Dólar Spot'!$A:$A,0)),"")</f>
        <v>3.2888999999999999</v>
      </c>
      <c r="L298" s="8">
        <v>850000000</v>
      </c>
      <c r="M298" s="7">
        <f>IF(N298="USD",L298*K298/1000000,L298/1000000)</f>
        <v>2795.5650000000001</v>
      </c>
      <c r="N298" s="6" t="s">
        <v>16</v>
      </c>
      <c r="O298" s="9" t="str" cm="1">
        <f t="array" ref="O298">INDEX(Ratings!$B$2:$L$42,_xlfn.XMATCH(Base!E276,Ratings!$A$2:$A$42),_xlfn.XMATCH(YEAR(Base!G276),Ratings!$B$1:$L$1))</f>
        <v>NR</v>
      </c>
      <c r="P298">
        <f>IF(AND(O298&lt;&gt;"BBB-",O298&lt;&gt;"BBB",O298&lt;&gt;"BBB+"),0,1)</f>
        <v>0</v>
      </c>
      <c r="Q298" s="7">
        <f>INDEX('Bonds ANBIMA'!$F:$F,MATCH(Base!$B276,'Bonds ANBIMA'!$A:$A,0))</f>
        <v>1041.7998809523808</v>
      </c>
      <c r="R298" s="21">
        <f>INDEX('Bonds ANBIMA'!$H:$H,MATCH(Base!$B276,'Bonds ANBIMA'!$A:$A,0))</f>
        <v>0.88900000000000001</v>
      </c>
      <c r="S298" s="7">
        <f>INDEX('Debêntures ANBIMA'!$O:$O,MATCH(Base!$B276,'Debêntures ANBIMA'!$A:$A,0))</f>
        <v>287.34284210526317</v>
      </c>
      <c r="T298" s="24">
        <f>INDEX('Debêntures ANBIMA'!$P:$P,MATCH(Base!$B276,'Debêntures ANBIMA'!$A:$A,0))</f>
        <v>0.64590629073898931</v>
      </c>
    </row>
    <row r="299" spans="1:20" x14ac:dyDescent="0.35">
      <c r="A299">
        <f>YEAR(B299)</f>
        <v>2011</v>
      </c>
      <c r="B299" s="12">
        <f>DATE(YEAR(G299),MONTH(G299),DAY(1))</f>
        <v>40664</v>
      </c>
      <c r="C299">
        <f>IF(E299&lt;&gt;E298,C298+1,C298)</f>
        <v>32</v>
      </c>
      <c r="D299" s="6" t="s">
        <v>136</v>
      </c>
      <c r="E299" s="6" t="s">
        <v>131</v>
      </c>
      <c r="F299" s="6" t="s">
        <v>233</v>
      </c>
      <c r="G299" s="1">
        <v>40672</v>
      </c>
      <c r="H299" s="1" t="s">
        <v>139</v>
      </c>
      <c r="I299" s="7">
        <f>IF(H299-G299&gt;(365*5),1,0)</f>
        <v>1</v>
      </c>
      <c r="J299" s="22">
        <v>1</v>
      </c>
      <c r="K299" s="9">
        <f>IF($N299="USD",INDEX('Dólar Spot'!$C:$C,MATCH(Base!$G277,'Dólar Spot'!$A:$A,0)),"")</f>
        <v>3.7326000000000001</v>
      </c>
      <c r="L299" s="8">
        <v>750000000</v>
      </c>
      <c r="M299" s="7">
        <f>IF(N299="USD",L299*K299/1000000,L299/1000000)</f>
        <v>2799.45</v>
      </c>
      <c r="N299" s="6" t="s">
        <v>16</v>
      </c>
      <c r="O299" s="9" t="str" cm="1">
        <f t="array" ref="O299">INDEX(Ratings!$B$2:$L$42,_xlfn.XMATCH(Base!E277,Ratings!$A$2:$A$42),_xlfn.XMATCH(YEAR(Base!G277),Ratings!$B$1:$L$1))</f>
        <v>BB-</v>
      </c>
      <c r="P299">
        <f>IF(AND(O299&lt;&gt;"BBB-",O299&lt;&gt;"BBB",O299&lt;&gt;"BBB+"),0,1)</f>
        <v>0</v>
      </c>
      <c r="Q299" s="7">
        <f>INDEX('Bonds ANBIMA'!$F:$F,MATCH(Base!$B277,'Bonds ANBIMA'!$A:$A,0))</f>
        <v>1878.9022727272729</v>
      </c>
      <c r="R299" s="21">
        <f>INDEX('Bonds ANBIMA'!$H:$H,MATCH(Base!$B277,'Bonds ANBIMA'!$A:$A,0))</f>
        <v>0.76190476190476186</v>
      </c>
      <c r="S299" s="7">
        <f>INDEX('Debêntures ANBIMA'!$O:$O,MATCH(Base!$B277,'Debêntures ANBIMA'!$A:$A,0))</f>
        <v>209.83</v>
      </c>
      <c r="T299" s="24">
        <f>INDEX('Debêntures ANBIMA'!$P:$P,MATCH(Base!$B277,'Debêntures ANBIMA'!$A:$A,0))</f>
        <v>0.84594032589608081</v>
      </c>
    </row>
    <row r="300" spans="1:20" x14ac:dyDescent="0.35">
      <c r="A300">
        <f>YEAR(B300)</f>
        <v>2013</v>
      </c>
      <c r="B300" s="12">
        <f>DATE(YEAR(G300),MONTH(G300),DAY(1))</f>
        <v>41518</v>
      </c>
      <c r="C300">
        <f>IF(E300&lt;&gt;E299,C299+1,C299)</f>
        <v>32</v>
      </c>
      <c r="D300" s="6" t="s">
        <v>136</v>
      </c>
      <c r="E300" s="6" t="s">
        <v>131</v>
      </c>
      <c r="F300" s="6" t="s">
        <v>233</v>
      </c>
      <c r="G300" s="1">
        <v>41537</v>
      </c>
      <c r="H300" s="1" t="s">
        <v>140</v>
      </c>
      <c r="I300" s="7">
        <f>IF(H300-G300&gt;(365*5),1,0)</f>
        <v>1</v>
      </c>
      <c r="J300" s="22">
        <v>1</v>
      </c>
      <c r="K300" s="9">
        <f>IF($N300="USD",INDEX('Dólar Spot'!$C:$C,MATCH(Base!$G278,'Dólar Spot'!$A:$A,0)),"")</f>
        <v>3.8723999999999998</v>
      </c>
      <c r="L300" s="8">
        <v>400000000</v>
      </c>
      <c r="M300" s="7">
        <f>IF(N300="USD",L300*K300/1000000,L300/1000000)</f>
        <v>1548.96</v>
      </c>
      <c r="N300" s="6" t="s">
        <v>16</v>
      </c>
      <c r="O300" s="9" t="str" cm="1">
        <f t="array" ref="O300">INDEX(Ratings!$B$2:$L$42,_xlfn.XMATCH(Base!E278,Ratings!$A$2:$A$42),_xlfn.XMATCH(YEAR(Base!G278),Ratings!$B$1:$L$1))</f>
        <v>BB-</v>
      </c>
      <c r="P300">
        <f>IF(AND(O300&lt;&gt;"BBB-",O300&lt;&gt;"BBB",O300&lt;&gt;"BBB+"),0,1)</f>
        <v>0</v>
      </c>
      <c r="Q300" s="7">
        <f>INDEX('Bonds ANBIMA'!$F:$F,MATCH(Base!$B278,'Bonds ANBIMA'!$A:$A,0))</f>
        <v>4544.8166666666657</v>
      </c>
      <c r="R300" s="21">
        <f>INDEX('Bonds ANBIMA'!$H:$H,MATCH(Base!$B278,'Bonds ANBIMA'!$A:$A,0))</f>
        <v>0.83333333333333337</v>
      </c>
      <c r="S300" s="7">
        <f>INDEX('Debêntures ANBIMA'!$O:$O,MATCH(Base!$B278,'Debêntures ANBIMA'!$A:$A,0))</f>
        <v>405.99201704000006</v>
      </c>
      <c r="T300" s="24">
        <f>INDEX('Debêntures ANBIMA'!$P:$P,MATCH(Base!$B278,'Debêntures ANBIMA'!$A:$A,0))</f>
        <v>0.92399320653021089</v>
      </c>
    </row>
    <row r="301" spans="1:20" x14ac:dyDescent="0.35">
      <c r="A301">
        <f>YEAR(B301)</f>
        <v>2013</v>
      </c>
      <c r="B301" s="12">
        <f>DATE(YEAR(G301),MONTH(G301),DAY(1))</f>
        <v>41275</v>
      </c>
      <c r="C301">
        <f>IF(E301&lt;&gt;E300,C300+1,C300)</f>
        <v>32</v>
      </c>
      <c r="D301" s="6" t="s">
        <v>136</v>
      </c>
      <c r="E301" s="6" t="s">
        <v>131</v>
      </c>
      <c r="F301" s="6" t="s">
        <v>233</v>
      </c>
      <c r="G301" s="1">
        <v>41298</v>
      </c>
      <c r="H301" s="1" t="s">
        <v>141</v>
      </c>
      <c r="I301" s="7">
        <f>IF(H301-G301&gt;(365*5),1,0)</f>
        <v>0</v>
      </c>
      <c r="J301" s="22">
        <v>1</v>
      </c>
      <c r="K301" s="9">
        <f>IF($N301="USD",INDEX('Dólar Spot'!$C:$C,MATCH(Base!$G279,'Dólar Spot'!$A:$A,0)),"")</f>
        <v>4.1482000000000001</v>
      </c>
      <c r="L301" s="8">
        <v>600000000</v>
      </c>
      <c r="M301" s="7">
        <f>IF(N301="USD",L301*K301/1000000,L301/1000000)</f>
        <v>2488.92</v>
      </c>
      <c r="N301" s="6" t="s">
        <v>16</v>
      </c>
      <c r="O301" s="9" t="str" cm="1">
        <f t="array" ref="O301">INDEX(Ratings!$B$2:$L$42,_xlfn.XMATCH(Base!E279,Ratings!$A$2:$A$42),_xlfn.XMATCH(YEAR(Base!G279),Ratings!$B$1:$L$1))</f>
        <v>BB-</v>
      </c>
      <c r="P301">
        <f>IF(AND(O301&lt;&gt;"BBB-",O301&lt;&gt;"BBB",O301&lt;&gt;"BBB+"),0,1)</f>
        <v>0</v>
      </c>
      <c r="Q301" s="7">
        <f>INDEX('Bonds ANBIMA'!$F:$F,MATCH(Base!$B279,'Bonds ANBIMA'!$A:$A,0))</f>
        <v>1716.2825217391307</v>
      </c>
      <c r="R301" s="21">
        <f>INDEX('Bonds ANBIMA'!$H:$H,MATCH(Base!$B279,'Bonds ANBIMA'!$A:$A,0))</f>
        <v>0.8</v>
      </c>
      <c r="S301" s="7">
        <f>INDEX('Debêntures ANBIMA'!$O:$O,MATCH(Base!$B279,'Debêntures ANBIMA'!$A:$A,0))</f>
        <v>367.76637837837836</v>
      </c>
      <c r="T301" s="24">
        <f>INDEX('Debêntures ANBIMA'!$P:$P,MATCH(Base!$B279,'Debêntures ANBIMA'!$A:$A,0))</f>
        <v>0.60073138807402171</v>
      </c>
    </row>
    <row r="302" spans="1:20" x14ac:dyDescent="0.35">
      <c r="A302">
        <f>YEAR(B302)</f>
        <v>2021</v>
      </c>
      <c r="B302" s="12">
        <f>DATE(YEAR(G302),MONTH(G302),DAY(1))</f>
        <v>44256</v>
      </c>
      <c r="C302">
        <f>IF(E302&lt;&gt;E301,C301+1,C301)</f>
        <v>33</v>
      </c>
      <c r="D302" s="6" t="s">
        <v>146</v>
      </c>
      <c r="E302" s="6" t="s">
        <v>145</v>
      </c>
      <c r="F302" s="6" t="s">
        <v>233</v>
      </c>
      <c r="G302" s="1">
        <v>44273</v>
      </c>
      <c r="H302" s="1" t="s">
        <v>147</v>
      </c>
      <c r="I302" s="7">
        <f>IF(H302-G302&gt;(365*5),1,0)</f>
        <v>1</v>
      </c>
      <c r="J302" s="22">
        <v>1</v>
      </c>
      <c r="K302" s="9">
        <f>IF($N302="USD",INDEX('Dólar Spot'!$C:$C,MATCH(Base!$G284,'Dólar Spot'!$A:$A,0)),"")</f>
        <v>5.4504000000000001</v>
      </c>
      <c r="L302" s="8">
        <v>1000000000</v>
      </c>
      <c r="M302" s="7">
        <f>IF(N302="USD",L302*K302/1000000,L302/1000000)</f>
        <v>5450.4</v>
      </c>
      <c r="N302" s="6" t="s">
        <v>16</v>
      </c>
      <c r="O302" s="9" t="str" cm="1">
        <f t="array" ref="O302">INDEX(Ratings!$B$2:$L$42,_xlfn.XMATCH(Base!E284,Ratings!$A$2:$A$42),_xlfn.XMATCH(YEAR(Base!G284),Ratings!$B$1:$L$1))</f>
        <v>BB-</v>
      </c>
      <c r="P302">
        <f>IF(AND(O302&lt;&gt;"BBB-",O302&lt;&gt;"BBB",O302&lt;&gt;"BBB+"),0,1)</f>
        <v>0</v>
      </c>
      <c r="Q302" s="7">
        <f>INDEX('Bonds ANBIMA'!$F:$F,MATCH(Base!$B284,'Bonds ANBIMA'!$A:$A,0))</f>
        <v>830.90625000000023</v>
      </c>
      <c r="R302" s="21">
        <f>INDEX('Bonds ANBIMA'!$H:$H,MATCH(Base!$B284,'Bonds ANBIMA'!$A:$A,0))</f>
        <v>0.72727272727272729</v>
      </c>
      <c r="S302" s="7">
        <f>INDEX('Debêntures ANBIMA'!$O:$O,MATCH(Base!$B284,'Debêntures ANBIMA'!$A:$A,0))</f>
        <v>433.14238554216865</v>
      </c>
      <c r="T302" s="24">
        <f>INDEX('Debêntures ANBIMA'!$P:$P,MATCH(Base!$B284,'Debêntures ANBIMA'!$A:$A,0))</f>
        <v>0.92091969370314131</v>
      </c>
    </row>
    <row r="303" spans="1:20" x14ac:dyDescent="0.35">
      <c r="A303">
        <f>YEAR(B303)</f>
        <v>2017</v>
      </c>
      <c r="B303" s="12">
        <f>DATE(YEAR(G303),MONTH(G303),DAY(1))</f>
        <v>43070</v>
      </c>
      <c r="C303">
        <f>IF(E303&lt;&gt;E302,C302+1,C302)</f>
        <v>33</v>
      </c>
      <c r="D303" s="6" t="s">
        <v>146</v>
      </c>
      <c r="E303" s="6" t="s">
        <v>145</v>
      </c>
      <c r="F303" s="6" t="s">
        <v>233</v>
      </c>
      <c r="G303" s="1">
        <v>43088</v>
      </c>
      <c r="H303" s="1" t="s">
        <v>148</v>
      </c>
      <c r="I303" s="7">
        <f>IF(H303-G303&gt;(365*5),1,0)</f>
        <v>1</v>
      </c>
      <c r="J303" s="22">
        <v>1</v>
      </c>
      <c r="K303" s="9">
        <f>IF($N303="USD",INDEX('Dólar Spot'!$C:$C,MATCH(Base!$G285,'Dólar Spot'!$A:$A,0)),"")</f>
        <v>4.1482000000000001</v>
      </c>
      <c r="L303" s="8">
        <v>500000000</v>
      </c>
      <c r="M303" s="7">
        <f>IF(N303="USD",L303*K303/1000000,L303/1000000)</f>
        <v>2074.1</v>
      </c>
      <c r="N303" s="6" t="s">
        <v>16</v>
      </c>
      <c r="O303" s="9" t="str" cm="1">
        <f t="array" ref="O303">INDEX(Ratings!$B$2:$L$42,_xlfn.XMATCH(Base!E285,Ratings!$A$2:$A$42),_xlfn.XMATCH(YEAR(Base!G285),Ratings!$B$1:$L$1))</f>
        <v>BB-</v>
      </c>
      <c r="P303">
        <f>IF(AND(O303&lt;&gt;"BBB-",O303&lt;&gt;"BBB",O303&lt;&gt;"BBB+"),0,1)</f>
        <v>0</v>
      </c>
      <c r="Q303" s="7">
        <f>INDEX('Bonds ANBIMA'!$F:$F,MATCH(Base!$B285,'Bonds ANBIMA'!$A:$A,0))</f>
        <v>1716.2825217391307</v>
      </c>
      <c r="R303" s="21">
        <f>INDEX('Bonds ANBIMA'!$H:$H,MATCH(Base!$B285,'Bonds ANBIMA'!$A:$A,0))</f>
        <v>0.8</v>
      </c>
      <c r="S303" s="7">
        <f>INDEX('Debêntures ANBIMA'!$O:$O,MATCH(Base!$B285,'Debêntures ANBIMA'!$A:$A,0))</f>
        <v>367.76637837837836</v>
      </c>
      <c r="T303" s="24">
        <f>INDEX('Debêntures ANBIMA'!$P:$P,MATCH(Base!$B285,'Debêntures ANBIMA'!$A:$A,0))</f>
        <v>0.60073138807402171</v>
      </c>
    </row>
    <row r="304" spans="1:20" x14ac:dyDescent="0.35">
      <c r="A304">
        <f>YEAR(B304)</f>
        <v>2016</v>
      </c>
      <c r="B304" s="12">
        <f>DATE(YEAR(G304),MONTH(G304),DAY(1))</f>
        <v>42614</v>
      </c>
      <c r="C304">
        <f>IF(E304&lt;&gt;E303,C303+1,C303)</f>
        <v>33</v>
      </c>
      <c r="D304" s="6" t="s">
        <v>146</v>
      </c>
      <c r="E304" s="6" t="s">
        <v>145</v>
      </c>
      <c r="F304" s="6" t="s">
        <v>233</v>
      </c>
      <c r="G304" s="1">
        <v>42633</v>
      </c>
      <c r="H304" s="1" t="s">
        <v>149</v>
      </c>
      <c r="I304" s="7">
        <f>IF(H304-G304&gt;(365*5),1,0)</f>
        <v>1</v>
      </c>
      <c r="J304" s="22">
        <v>1</v>
      </c>
      <c r="K304" s="9">
        <f>IF($N304="USD",INDEX('Dólar Spot'!$C:$C,MATCH(Base!$G286,'Dólar Spot'!$A:$A,0)),"")</f>
        <v>2.2185999999999999</v>
      </c>
      <c r="L304" s="8">
        <v>1000000000</v>
      </c>
      <c r="M304" s="7">
        <f>IF(N304="USD",L304*K304/1000000,L304/1000000)</f>
        <v>2218.6</v>
      </c>
      <c r="N304" s="6" t="s">
        <v>16</v>
      </c>
      <c r="O304" s="9" t="str" cm="1">
        <f t="array" ref="O304">INDEX(Ratings!$B$2:$L$42,_xlfn.XMATCH(Base!E286,Ratings!$A$2:$A$42),_xlfn.XMATCH(YEAR(Base!G286),Ratings!$B$1:$L$1))</f>
        <v>NR</v>
      </c>
      <c r="P304">
        <f>IF(AND(O304&lt;&gt;"BBB-",O304&lt;&gt;"BBB",O304&lt;&gt;"BBB+"),0,1)</f>
        <v>0</v>
      </c>
      <c r="Q304" s="7">
        <f>INDEX('Bonds ANBIMA'!$F:$F,MATCH(Base!$B286,'Bonds ANBIMA'!$A:$A,0))</f>
        <v>1939.5944668202767</v>
      </c>
      <c r="R304" s="21">
        <f>INDEX('Bonds ANBIMA'!$H:$H,MATCH(Base!$B286,'Bonds ANBIMA'!$A:$A,0))</f>
        <v>0.7592592592592593</v>
      </c>
      <c r="S304" s="7">
        <f>INDEX('Debêntures ANBIMA'!$O:$O,MATCH(Base!$B286,'Debêntures ANBIMA'!$A:$A,0))</f>
        <v>215.26190476190476</v>
      </c>
      <c r="T304" s="24">
        <f>INDEX('Debêntures ANBIMA'!$P:$P,MATCH(Base!$B286,'Debêntures ANBIMA'!$A:$A,0))</f>
        <v>0.85643181064041585</v>
      </c>
    </row>
    <row r="305" spans="1:20" x14ac:dyDescent="0.35">
      <c r="A305">
        <f>YEAR(B305)</f>
        <v>2021</v>
      </c>
      <c r="B305" s="12">
        <f>DATE(YEAR(G305),MONTH(G305),DAY(1))</f>
        <v>44378</v>
      </c>
      <c r="C305">
        <f>IF(E305&lt;&gt;E304,C304+1,C304)</f>
        <v>33</v>
      </c>
      <c r="D305" s="6" t="s">
        <v>146</v>
      </c>
      <c r="E305" s="6" t="s">
        <v>145</v>
      </c>
      <c r="F305" s="6" t="s">
        <v>233</v>
      </c>
      <c r="G305" s="1">
        <v>44390</v>
      </c>
      <c r="H305" s="1" t="s">
        <v>147</v>
      </c>
      <c r="I305" s="7">
        <f>IF(H305-G305&gt;(365*5),1,0)</f>
        <v>1</v>
      </c>
      <c r="J305" s="22">
        <v>1</v>
      </c>
      <c r="K305" s="9">
        <f>IF($N305="USD",INDEX('Dólar Spot'!$C:$C,MATCH(Base!$G287,'Dólar Spot'!$A:$A,0)),"")</f>
        <v>1.5739000000000001</v>
      </c>
      <c r="L305" s="8">
        <v>400000000</v>
      </c>
      <c r="M305" s="7">
        <f>IF(N305="USD",L305*K305/1000000,L305/1000000)</f>
        <v>629.55999999999995</v>
      </c>
      <c r="N305" s="6" t="s">
        <v>16</v>
      </c>
      <c r="O305" s="9" t="str" cm="1">
        <f t="array" ref="O305">INDEX(Ratings!$B$2:$L$42,_xlfn.XMATCH(Base!E287,Ratings!$A$2:$A$42),_xlfn.XMATCH(YEAR(Base!G287),Ratings!$B$1:$L$1))</f>
        <v>NR</v>
      </c>
      <c r="P305">
        <f>IF(AND(O305&lt;&gt;"BBB-",O305&lt;&gt;"BBB",O305&lt;&gt;"BBB+"),0,1)</f>
        <v>0</v>
      </c>
      <c r="Q305" s="7">
        <f>INDEX('Bonds ANBIMA'!$F:$F,MATCH(Base!$B287,'Bonds ANBIMA'!$A:$A,0))</f>
        <v>1431.9454741258744</v>
      </c>
      <c r="R305" s="21">
        <f>INDEX('Bonds ANBIMA'!$H:$H,MATCH(Base!$B287,'Bonds ANBIMA'!$A:$A,0))</f>
        <v>0.5862068965517242</v>
      </c>
      <c r="S305" s="7">
        <f>INDEX('Debêntures ANBIMA'!$O:$O,MATCH(Base!$B287,'Debêntures ANBIMA'!$A:$A,0))</f>
        <v>474.49523809523805</v>
      </c>
      <c r="T305" s="24">
        <f>INDEX('Debêntures ANBIMA'!$P:$P,MATCH(Base!$B287,'Debêntures ANBIMA'!$A:$A,0))</f>
        <v>0.3802035245473887</v>
      </c>
    </row>
    <row r="306" spans="1:20" x14ac:dyDescent="0.35">
      <c r="A306">
        <f>YEAR(B306)</f>
        <v>2013</v>
      </c>
      <c r="B306" s="12">
        <f>DATE(YEAR(G306),MONTH(G306),DAY(1))</f>
        <v>41275</v>
      </c>
      <c r="C306">
        <f>IF(E306&lt;&gt;E305,C305+1,C305)</f>
        <v>33</v>
      </c>
      <c r="D306" s="6" t="s">
        <v>146</v>
      </c>
      <c r="E306" s="6" t="s">
        <v>145</v>
      </c>
      <c r="F306" s="6" t="s">
        <v>233</v>
      </c>
      <c r="G306" s="1">
        <v>41305</v>
      </c>
      <c r="H306" s="1" t="s">
        <v>150</v>
      </c>
      <c r="I306" s="7">
        <f>IF(H306-G306&gt;(365*5),1,0)</f>
        <v>1</v>
      </c>
      <c r="J306" s="22">
        <v>1</v>
      </c>
      <c r="K306" s="9" t="e">
        <f>IF($N306="USD",INDEX('Dólar Spot'!$C:$C,MATCH(Base!$G288,'Dólar Spot'!$A:$A,0)),"")</f>
        <v>#N/A</v>
      </c>
      <c r="L306" s="8">
        <v>850000000</v>
      </c>
      <c r="M306" s="7" t="e">
        <f>IF(N306="USD",L306*K306/1000000,L306/1000000)</f>
        <v>#N/A</v>
      </c>
      <c r="N306" s="6" t="s">
        <v>16</v>
      </c>
      <c r="O306" s="9" t="str" cm="1">
        <f t="array" ref="O306">INDEX(Ratings!$B$2:$L$42,_xlfn.XMATCH(Base!E288,Ratings!$A$2:$A$42),_xlfn.XMATCH(YEAR(Base!G288),Ratings!$B$1:$L$1))</f>
        <v>NR</v>
      </c>
      <c r="P306">
        <f>IF(AND(O306&lt;&gt;"BBB-",O306&lt;&gt;"BBB",O306&lt;&gt;"BBB+"),0,1)</f>
        <v>0</v>
      </c>
      <c r="Q306" s="7">
        <f>INDEX('Bonds ANBIMA'!$F:$F,MATCH(Base!$B288,'Bonds ANBIMA'!$A:$A,0))</f>
        <v>2301.9933750000005</v>
      </c>
      <c r="R306" s="21">
        <f>INDEX('Bonds ANBIMA'!$H:$H,MATCH(Base!$B288,'Bonds ANBIMA'!$A:$A,0))</f>
        <v>0.61224489795918369</v>
      </c>
      <c r="S306" s="7">
        <f>INDEX('Debêntures ANBIMA'!$O:$O,MATCH(Base!$B288,'Debêntures ANBIMA'!$A:$A,0))</f>
        <v>260.72000000000003</v>
      </c>
      <c r="T306" s="24">
        <f>INDEX('Debêntures ANBIMA'!$P:$P,MATCH(Base!$B288,'Debêntures ANBIMA'!$A:$A,0))</f>
        <v>0.69412633912079802</v>
      </c>
    </row>
    <row r="307" spans="1:20" x14ac:dyDescent="0.35">
      <c r="A307">
        <f>YEAR(B307)</f>
        <v>2017</v>
      </c>
      <c r="B307" s="12">
        <f>DATE(YEAR(G307),MONTH(G307),DAY(1))</f>
        <v>42887</v>
      </c>
      <c r="C307">
        <f>IF(E307&lt;&gt;E306,C306+1,C306)</f>
        <v>33</v>
      </c>
      <c r="D307" s="6" t="s">
        <v>146</v>
      </c>
      <c r="E307" s="6" t="s">
        <v>145</v>
      </c>
      <c r="F307" s="6" t="s">
        <v>233</v>
      </c>
      <c r="G307" s="1">
        <v>42902</v>
      </c>
      <c r="H307" s="1" t="s">
        <v>149</v>
      </c>
      <c r="I307" s="7">
        <f>IF(H307-G307&gt;(365*5),1,0)</f>
        <v>1</v>
      </c>
      <c r="J307" s="22">
        <v>1</v>
      </c>
      <c r="K307" s="9" t="e">
        <f>IF($N307="USD",INDEX('Dólar Spot'!$C:$C,MATCH(Base!$G289,'Dólar Spot'!$A:$A,0)),"")</f>
        <v>#N/A</v>
      </c>
      <c r="L307" s="8">
        <v>350000000</v>
      </c>
      <c r="M307" s="7" t="e">
        <f>IF(N307="USD",L307*K307/1000000,L307/1000000)</f>
        <v>#N/A</v>
      </c>
      <c r="N307" s="6" t="s">
        <v>16</v>
      </c>
      <c r="O307" s="9" t="str" cm="1">
        <f t="array" ref="O307">INDEX(Ratings!$B$2:$L$42,_xlfn.XMATCH(Base!E289,Ratings!$A$2:$A$42),_xlfn.XMATCH(YEAR(Base!G289),Ratings!$B$1:$L$1))</f>
        <v>NR</v>
      </c>
      <c r="P307">
        <f>IF(AND(O307&lt;&gt;"BBB-",O307&lt;&gt;"BBB",O307&lt;&gt;"BBB+"),0,1)</f>
        <v>0</v>
      </c>
      <c r="Q307" s="7">
        <f>INDEX('Bonds ANBIMA'!$F:$F,MATCH(Base!$B289,'Bonds ANBIMA'!$A:$A,0))</f>
        <v>2301.9933750000005</v>
      </c>
      <c r="R307" s="21">
        <f>INDEX('Bonds ANBIMA'!$H:$H,MATCH(Base!$B289,'Bonds ANBIMA'!$A:$A,0))</f>
        <v>0.61224489795918369</v>
      </c>
      <c r="S307" s="7">
        <f>INDEX('Debêntures ANBIMA'!$O:$O,MATCH(Base!$B289,'Debêntures ANBIMA'!$A:$A,0))</f>
        <v>260.72000000000003</v>
      </c>
      <c r="T307" s="24">
        <f>INDEX('Debêntures ANBIMA'!$P:$P,MATCH(Base!$B289,'Debêntures ANBIMA'!$A:$A,0))</f>
        <v>0.69412633912079802</v>
      </c>
    </row>
    <row r="308" spans="1:20" x14ac:dyDescent="0.35">
      <c r="A308">
        <f>YEAR(B308)</f>
        <v>2012</v>
      </c>
      <c r="B308" s="12">
        <f>DATE(YEAR(G308),MONTH(G308),DAY(1))</f>
        <v>40969</v>
      </c>
      <c r="C308">
        <f>IF(E308&lt;&gt;E307,C307+1,C307)</f>
        <v>33</v>
      </c>
      <c r="D308" s="6" t="s">
        <v>146</v>
      </c>
      <c r="E308" s="6" t="s">
        <v>145</v>
      </c>
      <c r="F308" s="6" t="s">
        <v>233</v>
      </c>
      <c r="G308" s="1">
        <v>40997</v>
      </c>
      <c r="H308" s="1" t="s">
        <v>151</v>
      </c>
      <c r="I308" s="7">
        <f>IF(H308-G308&gt;(365*5),1,0)</f>
        <v>1</v>
      </c>
      <c r="J308" s="22">
        <v>1</v>
      </c>
      <c r="K308" s="9">
        <f>IF($N308="USD",INDEX('Dólar Spot'!$C:$C,MATCH(Base!$G290,'Dólar Spot'!$A:$A,0)),"")</f>
        <v>5.0313999999999997</v>
      </c>
      <c r="L308" s="8">
        <v>100000000</v>
      </c>
      <c r="M308" s="7">
        <f>IF(N308="USD",L308*K308/1000000,L308/1000000)</f>
        <v>503.13999999999993</v>
      </c>
      <c r="N308" s="6" t="s">
        <v>16</v>
      </c>
      <c r="O308" s="9" t="str" cm="1">
        <f t="array" ref="O308">INDEX(Ratings!$B$2:$L$42,_xlfn.XMATCH(Base!E290,Ratings!$A$2:$A$42),_xlfn.XMATCH(YEAR(Base!G290),Ratings!$B$1:$L$1))</f>
        <v>BB-</v>
      </c>
      <c r="P308">
        <f>IF(AND(O308&lt;&gt;"BBB-",O308&lt;&gt;"BBB",O308&lt;&gt;"BBB+"),0,1)</f>
        <v>0</v>
      </c>
      <c r="Q308" s="7">
        <f>INDEX('Bonds ANBIMA'!$F:$F,MATCH(Base!$B290,'Bonds ANBIMA'!$A:$A,0))</f>
        <v>4407.4187499999998</v>
      </c>
      <c r="R308" s="21">
        <f>INDEX('Bonds ANBIMA'!$H:$H,MATCH(Base!$B290,'Bonds ANBIMA'!$A:$A,0))</f>
        <v>0.75</v>
      </c>
      <c r="S308" s="7">
        <f>INDEX('Debêntures ANBIMA'!$O:$O,MATCH(Base!$B290,'Debêntures ANBIMA'!$A:$A,0))</f>
        <v>370.50270588235298</v>
      </c>
      <c r="T308" s="24">
        <f>INDEX('Debêntures ANBIMA'!$P:$P,MATCH(Base!$B290,'Debêntures ANBIMA'!$A:$A,0))</f>
        <v>0.71227947317539486</v>
      </c>
    </row>
    <row r="309" spans="1:20" x14ac:dyDescent="0.35">
      <c r="A309">
        <f>YEAR(B309)</f>
        <v>2014</v>
      </c>
      <c r="B309" s="12">
        <f>DATE(YEAR(G309),MONTH(G309),DAY(1))</f>
        <v>41852</v>
      </c>
      <c r="C309">
        <f>IF(E309&lt;&gt;E308,C308+1,C308)</f>
        <v>33</v>
      </c>
      <c r="D309" s="6" t="s">
        <v>146</v>
      </c>
      <c r="E309" s="6" t="s">
        <v>145</v>
      </c>
      <c r="F309" s="6" t="s">
        <v>233</v>
      </c>
      <c r="G309" s="1">
        <v>41871</v>
      </c>
      <c r="H309" s="1" t="s">
        <v>150</v>
      </c>
      <c r="I309" s="7">
        <f>IF(H309-G309&gt;(365*5),1,0)</f>
        <v>1</v>
      </c>
      <c r="J309" s="22">
        <v>1</v>
      </c>
      <c r="K309" s="9">
        <f>IF($N309="USD",INDEX('Dólar Spot'!$C:$C,MATCH(Base!$G291,'Dólar Spot'!$A:$A,0)),"")</f>
        <v>3.5417999999999998</v>
      </c>
      <c r="L309" s="8">
        <v>200000000</v>
      </c>
      <c r="M309" s="7">
        <f>IF(N309="USD",L309*K309/1000000,L309/1000000)</f>
        <v>708.36</v>
      </c>
      <c r="N309" s="6" t="s">
        <v>16</v>
      </c>
      <c r="O309" s="9" t="str" cm="1">
        <f t="array" ref="O309">INDEX(Ratings!$B$2:$L$42,_xlfn.XMATCH(Base!E291,Ratings!$A$2:$A$42),_xlfn.XMATCH(YEAR(Base!G291),Ratings!$B$1:$L$1))</f>
        <v>BB-</v>
      </c>
      <c r="P309">
        <f>IF(AND(O309&lt;&gt;"BBB-",O309&lt;&gt;"BBB",O309&lt;&gt;"BBB+"),0,1)</f>
        <v>0</v>
      </c>
      <c r="Q309" s="7">
        <f>INDEX('Bonds ANBIMA'!$F:$F,MATCH(Base!$B291,'Bonds ANBIMA'!$A:$A,0))</f>
        <v>1454.1847619047614</v>
      </c>
      <c r="R309" s="21">
        <f>INDEX('Bonds ANBIMA'!$H:$H,MATCH(Base!$B291,'Bonds ANBIMA'!$A:$A,0))</f>
        <v>0.72222222222222221</v>
      </c>
      <c r="S309" s="7">
        <f>INDEX('Debêntures ANBIMA'!$O:$O,MATCH(Base!$B291,'Debêntures ANBIMA'!$A:$A,0))</f>
        <v>298.62667534349998</v>
      </c>
      <c r="T309" s="24">
        <f>INDEX('Debêntures ANBIMA'!$P:$P,MATCH(Base!$B291,'Debêntures ANBIMA'!$A:$A,0))</f>
        <v>0.49713789350807014</v>
      </c>
    </row>
    <row r="310" spans="1:20" x14ac:dyDescent="0.35">
      <c r="A310">
        <f>YEAR(B310)</f>
        <v>2012</v>
      </c>
      <c r="B310" s="12">
        <f>DATE(YEAR(G310),MONTH(G310),DAY(1))</f>
        <v>40940</v>
      </c>
      <c r="C310">
        <f>IF(E310&lt;&gt;E309,C309+1,C309)</f>
        <v>33</v>
      </c>
      <c r="D310" s="6" t="s">
        <v>146</v>
      </c>
      <c r="E310" s="6" t="s">
        <v>145</v>
      </c>
      <c r="F310" s="6" t="s">
        <v>233</v>
      </c>
      <c r="G310" s="1">
        <v>40949</v>
      </c>
      <c r="H310" s="1" t="s">
        <v>151</v>
      </c>
      <c r="I310" s="7">
        <f>IF(H310-G310&gt;(365*5),1,0)</f>
        <v>1</v>
      </c>
      <c r="J310" s="22">
        <v>1</v>
      </c>
      <c r="K310" s="9">
        <f>IF($N310="USD",INDEX('Dólar Spot'!$C:$C,MATCH(Base!$G292,'Dólar Spot'!$A:$A,0)),"")</f>
        <v>5.4752999999999998</v>
      </c>
      <c r="L310" s="8">
        <v>350000000</v>
      </c>
      <c r="M310" s="7">
        <f>IF(N310="USD",L310*K310/1000000,L310/1000000)</f>
        <v>1916.355</v>
      </c>
      <c r="N310" s="6" t="s">
        <v>16</v>
      </c>
      <c r="O310" s="9" t="str" cm="1">
        <f t="array" ref="O310">INDEX(Ratings!$B$2:$L$42,_xlfn.XMATCH(Base!E292,Ratings!$A$2:$A$42),_xlfn.XMATCH(YEAR(Base!G292),Ratings!$B$1:$L$1))</f>
        <v>BB</v>
      </c>
      <c r="P310">
        <f>IF(AND(O310&lt;&gt;"BBB-",O310&lt;&gt;"BBB",O310&lt;&gt;"BBB+"),0,1)</f>
        <v>0</v>
      </c>
      <c r="Q310" s="7">
        <f>INDEX('Bonds ANBIMA'!$F:$F,MATCH(Base!$B292,'Bonds ANBIMA'!$A:$A,0))</f>
        <v>4864.67</v>
      </c>
      <c r="R310" s="21">
        <f>INDEX('Bonds ANBIMA'!$H:$H,MATCH(Base!$B292,'Bonds ANBIMA'!$A:$A,0))</f>
        <v>0.85714285714285721</v>
      </c>
      <c r="S310" s="7">
        <f>INDEX('Debêntures ANBIMA'!$O:$O,MATCH(Base!$B292,'Debêntures ANBIMA'!$A:$A,0))</f>
        <v>336.99742476</v>
      </c>
      <c r="T310" s="24">
        <f>INDEX('Debêntures ANBIMA'!$P:$P,MATCH(Base!$B292,'Debêntures ANBIMA'!$A:$A,0))</f>
        <v>0.64497198827378088</v>
      </c>
    </row>
    <row r="311" spans="1:20" x14ac:dyDescent="0.35">
      <c r="A311">
        <f>YEAR(B311)</f>
        <v>2013</v>
      </c>
      <c r="B311" s="12">
        <f>DATE(YEAR(G311),MONTH(G311),DAY(1))</f>
        <v>41426</v>
      </c>
      <c r="C311">
        <f>IF(E311&lt;&gt;E310,C310+1,C310)</f>
        <v>33</v>
      </c>
      <c r="D311" s="6" t="s">
        <v>325</v>
      </c>
      <c r="E311" s="6" t="s">
        <v>145</v>
      </c>
      <c r="F311" s="6" t="s">
        <v>346</v>
      </c>
      <c r="G311" s="1">
        <v>41440</v>
      </c>
      <c r="H311" s="1">
        <v>43266</v>
      </c>
      <c r="I311" s="7">
        <f>IF(H311-G311&gt;(365*5),1,0)</f>
        <v>1</v>
      </c>
      <c r="J311" s="22">
        <v>1</v>
      </c>
      <c r="K311" s="9" t="str">
        <f>IF($N311="USD",INDEX('Dólar Spot'!$C:$C,MATCH(Base!$G293,'Dólar Spot'!$A:$A,0)),"")</f>
        <v/>
      </c>
      <c r="L311" s="8">
        <v>300000000</v>
      </c>
      <c r="M311" s="7">
        <f>IF(N311="USD",L311*K311/1000000,L311/1000000)</f>
        <v>300</v>
      </c>
      <c r="N311" s="6" t="s">
        <v>348</v>
      </c>
      <c r="O311" s="9" t="str" cm="1">
        <f t="array" ref="O311">INDEX(Ratings!$B$2:$L$42,_xlfn.XMATCH(Base!E293,Ratings!$A$2:$A$42),_xlfn.XMATCH(YEAR(Base!G293),Ratings!$B$1:$L$1))</f>
        <v>BB-</v>
      </c>
      <c r="P311">
        <f>IF(AND(O311&lt;&gt;"BBB-",O311&lt;&gt;"BBB",O311&lt;&gt;"BBB+"),0,1)</f>
        <v>0</v>
      </c>
      <c r="Q311" s="7">
        <f>INDEX('Bonds ANBIMA'!$F:$F,MATCH(Base!$B293,'Bonds ANBIMA'!$A:$A,0))</f>
        <v>1861.792090909091</v>
      </c>
      <c r="R311" s="21">
        <f>INDEX('Bonds ANBIMA'!$H:$H,MATCH(Base!$B293,'Bonds ANBIMA'!$A:$A,0))</f>
        <v>1</v>
      </c>
      <c r="S311" s="7">
        <f>INDEX('Debêntures ANBIMA'!$O:$O,MATCH(Base!$B293,'Debêntures ANBIMA'!$A:$A,0))</f>
        <v>403.11666666666667</v>
      </c>
      <c r="T311" s="24">
        <f>INDEX('Debêntures ANBIMA'!$P:$P,MATCH(Base!$B293,'Debêntures ANBIMA'!$A:$A,0))</f>
        <v>0.27549751243781095</v>
      </c>
    </row>
    <row r="312" spans="1:20" x14ac:dyDescent="0.35">
      <c r="A312">
        <f>YEAR(B312)</f>
        <v>2019</v>
      </c>
      <c r="B312" s="12">
        <f>DATE(YEAR(G312),MONTH(G312),DAY(1))</f>
        <v>43586</v>
      </c>
      <c r="C312">
        <f>IF(E312&lt;&gt;E311,C311+1,C311)</f>
        <v>33</v>
      </c>
      <c r="D312" s="6" t="s">
        <v>325</v>
      </c>
      <c r="E312" s="6" t="s">
        <v>145</v>
      </c>
      <c r="F312" s="6" t="s">
        <v>346</v>
      </c>
      <c r="G312" s="1">
        <v>43600</v>
      </c>
      <c r="H312" s="1">
        <v>44696</v>
      </c>
      <c r="I312" s="7">
        <f>IF(H312-G312&gt;(365*5),1,0)</f>
        <v>0</v>
      </c>
      <c r="J312" s="22">
        <v>1</v>
      </c>
      <c r="K312" s="9" t="str">
        <f>IF($N312="USD",INDEX('Dólar Spot'!$C:$C,MATCH(Base!$G294,'Dólar Spot'!$A:$A,0)),"")</f>
        <v/>
      </c>
      <c r="L312" s="8">
        <v>400000000</v>
      </c>
      <c r="M312" s="7">
        <f>IF(N312="USD",L312*K312/1000000,L312/1000000)</f>
        <v>400</v>
      </c>
      <c r="N312" s="6" t="s">
        <v>348</v>
      </c>
      <c r="O312" s="9" t="str" cm="1">
        <f t="array" ref="O312">INDEX(Ratings!$B$2:$L$42,_xlfn.XMATCH(Base!E294,Ratings!$A$2:$A$42),_xlfn.XMATCH(YEAR(Base!G294),Ratings!$B$1:$L$1))</f>
        <v>BB-</v>
      </c>
      <c r="P312">
        <f>IF(AND(O312&lt;&gt;"BBB-",O312&lt;&gt;"BBB",O312&lt;&gt;"BBB+"),0,1)</f>
        <v>0</v>
      </c>
      <c r="Q312" s="7">
        <f>INDEX('Bonds ANBIMA'!$F:$F,MATCH(Base!$B294,'Bonds ANBIMA'!$A:$A,0))</f>
        <v>1303.0543478260872</v>
      </c>
      <c r="R312" s="21">
        <f>INDEX('Bonds ANBIMA'!$H:$H,MATCH(Base!$B294,'Bonds ANBIMA'!$A:$A,0))</f>
        <v>0.88235294117647056</v>
      </c>
      <c r="S312" s="7">
        <f>INDEX('Debêntures ANBIMA'!$O:$O,MATCH(Base!$B294,'Debêntures ANBIMA'!$A:$A,0))</f>
        <v>181.09540000000001</v>
      </c>
      <c r="T312" s="24">
        <f>INDEX('Debêntures ANBIMA'!$P:$P,MATCH(Base!$B294,'Debêntures ANBIMA'!$A:$A,0))</f>
        <v>0.39855072463768121</v>
      </c>
    </row>
    <row r="313" spans="1:20" x14ac:dyDescent="0.35">
      <c r="A313">
        <f>YEAR(B313)</f>
        <v>2021</v>
      </c>
      <c r="B313" s="12">
        <f>DATE(YEAR(G313),MONTH(G313),DAY(1))</f>
        <v>44470</v>
      </c>
      <c r="C313">
        <f>IF(E313&lt;&gt;E312,C312+1,C312)</f>
        <v>33</v>
      </c>
      <c r="D313" s="6" t="s">
        <v>325</v>
      </c>
      <c r="E313" s="6" t="s">
        <v>145</v>
      </c>
      <c r="F313" s="6" t="s">
        <v>346</v>
      </c>
      <c r="G313" s="1">
        <v>44484</v>
      </c>
      <c r="H313" s="1">
        <v>46310</v>
      </c>
      <c r="I313" s="7">
        <f>IF(H313-G313&gt;(365*5),1,0)</f>
        <v>1</v>
      </c>
      <c r="J313" s="22">
        <v>1</v>
      </c>
      <c r="K313" s="9" t="str">
        <f>IF($N313="USD",INDEX('Dólar Spot'!$C:$C,MATCH(Base!$G295,'Dólar Spot'!$A:$A,0)),"")</f>
        <v/>
      </c>
      <c r="L313" s="8">
        <v>400000000</v>
      </c>
      <c r="M313" s="7">
        <f>IF(N313="USD",L313*K313/1000000,L313/1000000)</f>
        <v>400</v>
      </c>
      <c r="N313" s="6" t="s">
        <v>348</v>
      </c>
      <c r="O313" s="9" t="str" cm="1">
        <f t="array" ref="O313">INDEX(Ratings!$B$2:$L$42,_xlfn.XMATCH(Base!E295,Ratings!$A$2:$A$42),_xlfn.XMATCH(YEAR(Base!G295),Ratings!$B$1:$L$1))</f>
        <v>B+</v>
      </c>
      <c r="P313">
        <f>IF(AND(O313&lt;&gt;"BBB-",O313&lt;&gt;"BBB",O313&lt;&gt;"BBB+"),0,1)</f>
        <v>0</v>
      </c>
      <c r="Q313" s="7">
        <f>INDEX('Bonds ANBIMA'!$F:$F,MATCH(Base!$B295,'Bonds ANBIMA'!$A:$A,0))</f>
        <v>1486.966723076923</v>
      </c>
      <c r="R313" s="21">
        <f>INDEX('Bonds ANBIMA'!$H:$H,MATCH(Base!$B295,'Bonds ANBIMA'!$A:$A,0))</f>
        <v>0.5862068965517242</v>
      </c>
      <c r="S313" s="7">
        <f>INDEX('Debêntures ANBIMA'!$O:$O,MATCH(Base!$B295,'Debêntures ANBIMA'!$A:$A,0))</f>
        <v>249.09230769230768</v>
      </c>
      <c r="T313" s="24">
        <f>INDEX('Debêntures ANBIMA'!$P:$P,MATCH(Base!$B295,'Debêntures ANBIMA'!$A:$A,0))</f>
        <v>0.25631523685998392</v>
      </c>
    </row>
    <row r="314" spans="1:20" x14ac:dyDescent="0.35">
      <c r="A314">
        <f>YEAR(B314)</f>
        <v>2021</v>
      </c>
      <c r="B314" s="12">
        <f>DATE(YEAR(G314),MONTH(G314),DAY(1))</f>
        <v>44228</v>
      </c>
      <c r="C314">
        <f>IF(E314&lt;&gt;E313,C313+1,C313)</f>
        <v>34</v>
      </c>
      <c r="D314" s="6" t="s">
        <v>153</v>
      </c>
      <c r="E314" s="6" t="s">
        <v>152</v>
      </c>
      <c r="F314" s="6" t="s">
        <v>233</v>
      </c>
      <c r="G314" s="1">
        <v>44235</v>
      </c>
      <c r="H314" s="1" t="s">
        <v>109</v>
      </c>
      <c r="I314" s="7">
        <f>IF(H314-G314&gt;(365*5),1,0)</f>
        <v>1</v>
      </c>
      <c r="J314" s="22">
        <v>0</v>
      </c>
      <c r="K314" s="9">
        <f>IF($N314="USD",INDEX('Dólar Spot'!$C:$C,MATCH(Base!$G296,'Dólar Spot'!$A:$A,0)),"")</f>
        <v>1.6737</v>
      </c>
      <c r="L314" s="8">
        <v>500000000</v>
      </c>
      <c r="M314" s="7">
        <f>IF(N314="USD",L314*K314/1000000,L314/1000000)</f>
        <v>836.85</v>
      </c>
      <c r="N314" s="6" t="s">
        <v>16</v>
      </c>
      <c r="O314" s="9" t="str" cm="1">
        <f t="array" ref="O314">INDEX(Ratings!$B$2:$L$42,_xlfn.XMATCH(Base!E296,Ratings!$A$2:$A$42),_xlfn.XMATCH(YEAR(Base!G296),Ratings!$B$1:$L$1))</f>
        <v>B+</v>
      </c>
      <c r="P314">
        <f>IF(AND(O314&lt;&gt;"BBB-",O314&lt;&gt;"BBB",O314&lt;&gt;"BBB+"),0,1)</f>
        <v>0</v>
      </c>
      <c r="Q314" s="7">
        <f>INDEX('Bonds ANBIMA'!$F:$F,MATCH(Base!$B296,'Bonds ANBIMA'!$A:$A,0))</f>
        <v>1486.966723076923</v>
      </c>
      <c r="R314" s="21">
        <f>INDEX('Bonds ANBIMA'!$H:$H,MATCH(Base!$B296,'Bonds ANBIMA'!$A:$A,0))</f>
        <v>0.5862068965517242</v>
      </c>
      <c r="S314" s="7">
        <f>INDEX('Debêntures ANBIMA'!$O:$O,MATCH(Base!$B296,'Debêntures ANBIMA'!$A:$A,0))</f>
        <v>249.09230769230768</v>
      </c>
      <c r="T314" s="24">
        <f>INDEX('Debêntures ANBIMA'!$P:$P,MATCH(Base!$B296,'Debêntures ANBIMA'!$A:$A,0))</f>
        <v>0.25631523685998392</v>
      </c>
    </row>
    <row r="315" spans="1:20" x14ac:dyDescent="0.35">
      <c r="A315">
        <f>YEAR(B315)</f>
        <v>2021</v>
      </c>
      <c r="B315" s="12">
        <f>DATE(YEAR(G315),MONTH(G315),DAY(1))</f>
        <v>44440</v>
      </c>
      <c r="C315">
        <f>IF(E315&lt;&gt;E314,C314+1,C314)</f>
        <v>34</v>
      </c>
      <c r="D315" s="6" t="s">
        <v>153</v>
      </c>
      <c r="E315" s="6" t="s">
        <v>152</v>
      </c>
      <c r="F315" s="6" t="s">
        <v>233</v>
      </c>
      <c r="G315" s="1">
        <v>44454</v>
      </c>
      <c r="H315" s="1" t="s">
        <v>109</v>
      </c>
      <c r="I315" s="7">
        <f>IF(H315-G315&gt;(365*5),1,0)</f>
        <v>1</v>
      </c>
      <c r="J315" s="22">
        <v>1</v>
      </c>
      <c r="K315" s="9">
        <f>IF($N315="USD",INDEX('Dólar Spot'!$C:$C,MATCH(Base!$G297,'Dólar Spot'!$A:$A,0)),"")</f>
        <v>3.3892000000000002</v>
      </c>
      <c r="L315" s="8">
        <v>300000000</v>
      </c>
      <c r="M315" s="7">
        <f>IF(N315="USD",L315*K315/1000000,L315/1000000)</f>
        <v>1016.7600000000001</v>
      </c>
      <c r="N315" s="6" t="s">
        <v>16</v>
      </c>
      <c r="O315" s="9" t="str" cm="1">
        <f t="array" ref="O315">INDEX(Ratings!$B$2:$L$42,_xlfn.XMATCH(Base!E297,Ratings!$A$2:$A$42),_xlfn.XMATCH(YEAR(Base!G297),Ratings!$B$1:$L$1))</f>
        <v>B+</v>
      </c>
      <c r="P315">
        <f>IF(AND(O315&lt;&gt;"BBB-",O315&lt;&gt;"BBB",O315&lt;&gt;"BBB+"),0,1)</f>
        <v>0</v>
      </c>
      <c r="Q315" s="7">
        <f>INDEX('Bonds ANBIMA'!$F:$F,MATCH(Base!$B297,'Bonds ANBIMA'!$A:$A,0))</f>
        <v>3423.8772727272722</v>
      </c>
      <c r="R315" s="21">
        <f>INDEX('Bonds ANBIMA'!$H:$H,MATCH(Base!$B297,'Bonds ANBIMA'!$A:$A,0))</f>
        <v>0.5714285714285714</v>
      </c>
      <c r="S315" s="7">
        <f>INDEX('Debêntures ANBIMA'!$O:$O,MATCH(Base!$B297,'Debêntures ANBIMA'!$A:$A,0))</f>
        <v>313.18954558823532</v>
      </c>
      <c r="T315" s="24">
        <f>INDEX('Debêntures ANBIMA'!$P:$P,MATCH(Base!$B297,'Debêntures ANBIMA'!$A:$A,0))</f>
        <v>0.82799998804889829</v>
      </c>
    </row>
    <row r="316" spans="1:20" x14ac:dyDescent="0.35">
      <c r="A316">
        <f>YEAR(B316)</f>
        <v>2015</v>
      </c>
      <c r="B316" s="12">
        <f>DATE(YEAR(G316),MONTH(G316),DAY(1))</f>
        <v>42248</v>
      </c>
      <c r="C316">
        <f>IF(E316&lt;&gt;E315,C315+1,C315)</f>
        <v>34</v>
      </c>
      <c r="D316" s="6" t="s">
        <v>326</v>
      </c>
      <c r="E316" s="6" t="s">
        <v>152</v>
      </c>
      <c r="F316" s="6" t="s">
        <v>346</v>
      </c>
      <c r="G316" s="1">
        <v>42271</v>
      </c>
      <c r="H316" s="1">
        <v>43367</v>
      </c>
      <c r="I316" s="7">
        <f>IF(H316-G316&gt;(365*5),1,0)</f>
        <v>0</v>
      </c>
      <c r="J316" s="6">
        <v>0</v>
      </c>
      <c r="K316" s="9" t="str">
        <f>IF($N316="USD",INDEX('Dólar Spot'!$C:$C,MATCH(Base!$G298,'Dólar Spot'!$A:$A,0)),"")</f>
        <v/>
      </c>
      <c r="L316" s="8">
        <v>300000000</v>
      </c>
      <c r="M316" s="7">
        <f>IF(N316="USD",L316*K316/1000000,L316/1000000)</f>
        <v>300</v>
      </c>
      <c r="N316" s="6" t="s">
        <v>348</v>
      </c>
      <c r="O316" s="9" t="str" cm="1">
        <f t="array" ref="O316">INDEX(Ratings!$B$2:$L$42,_xlfn.XMATCH(Base!E298,Ratings!$A$2:$A$42),_xlfn.XMATCH(YEAR(Base!G298),Ratings!$B$1:$L$1))</f>
        <v>B</v>
      </c>
      <c r="P316">
        <f>IF(AND(O316&lt;&gt;"BBB-",O316&lt;&gt;"BBB",O316&lt;&gt;"BBB+"),0,1)</f>
        <v>0</v>
      </c>
      <c r="Q316" s="7">
        <f>INDEX('Bonds ANBIMA'!$F:$F,MATCH(Base!$B298,'Bonds ANBIMA'!$A:$A,0))</f>
        <v>1952.3304406451612</v>
      </c>
      <c r="R316" s="21">
        <f>INDEX('Bonds ANBIMA'!$H:$H,MATCH(Base!$B298,'Bonds ANBIMA'!$A:$A,0))</f>
        <v>0.7592592592592593</v>
      </c>
      <c r="S316" s="7">
        <f>INDEX('Debêntures ANBIMA'!$O:$O,MATCH(Base!$B298,'Debêntures ANBIMA'!$A:$A,0))</f>
        <v>1225.43</v>
      </c>
      <c r="T316" s="24">
        <f>INDEX('Debêntures ANBIMA'!$P:$P,MATCH(Base!$B298,'Debêntures ANBIMA'!$A:$A,0))</f>
        <v>0.93229370867656214</v>
      </c>
    </row>
    <row r="317" spans="1:20" x14ac:dyDescent="0.35">
      <c r="A317">
        <f>YEAR(B317)</f>
        <v>2020</v>
      </c>
      <c r="B317" s="12">
        <f>DATE(YEAR(G317),MONTH(G317),DAY(1))</f>
        <v>44166</v>
      </c>
      <c r="C317">
        <f>IF(E317&lt;&gt;E316,C316+1,C316)</f>
        <v>34</v>
      </c>
      <c r="D317" s="6" t="s">
        <v>327</v>
      </c>
      <c r="E317" s="6" t="s">
        <v>152</v>
      </c>
      <c r="F317" s="6" t="s">
        <v>346</v>
      </c>
      <c r="G317" s="1">
        <v>44175</v>
      </c>
      <c r="H317" s="1">
        <v>46001</v>
      </c>
      <c r="I317" s="7">
        <f>IF(H317-G317&gt;(365*5),1,0)</f>
        <v>1</v>
      </c>
      <c r="J317" s="6">
        <v>0</v>
      </c>
      <c r="K317" s="9" t="str">
        <f>IF($N317="USD",INDEX('Dólar Spot'!$C:$C,MATCH(Base!$G299,'Dólar Spot'!$A:$A,0)),"")</f>
        <v/>
      </c>
      <c r="L317" s="8">
        <v>600000000</v>
      </c>
      <c r="M317" s="7">
        <f>IF(N317="USD",L317*K317/1000000,L317/1000000)</f>
        <v>600</v>
      </c>
      <c r="N317" s="6" t="s">
        <v>348</v>
      </c>
      <c r="O317" s="9" t="str" cm="1">
        <f t="array" ref="O317">INDEX(Ratings!$B$2:$L$42,_xlfn.XMATCH(Base!E299,Ratings!$A$2:$A$42),_xlfn.XMATCH(YEAR(Base!G299),Ratings!$B$1:$L$1))</f>
        <v>B+</v>
      </c>
      <c r="P317">
        <f>IF(AND(O317&lt;&gt;"BBB-",O317&lt;&gt;"BBB",O317&lt;&gt;"BBB+"),0,1)</f>
        <v>0</v>
      </c>
      <c r="Q317" s="7">
        <f>INDEX('Bonds ANBIMA'!$F:$F,MATCH(Base!$B299,'Bonds ANBIMA'!$A:$A,0))</f>
        <v>1431.9454741258744</v>
      </c>
      <c r="R317" s="21">
        <f>INDEX('Bonds ANBIMA'!$H:$H,MATCH(Base!$B299,'Bonds ANBIMA'!$A:$A,0))</f>
        <v>0.5862068965517242</v>
      </c>
      <c r="S317" s="7">
        <f>INDEX('Debêntures ANBIMA'!$O:$O,MATCH(Base!$B299,'Debêntures ANBIMA'!$A:$A,0))</f>
        <v>474.49523809523805</v>
      </c>
      <c r="T317" s="24">
        <f>INDEX('Debêntures ANBIMA'!$P:$P,MATCH(Base!$B299,'Debêntures ANBIMA'!$A:$A,0))</f>
        <v>0.3802035245473887</v>
      </c>
    </row>
    <row r="318" spans="1:20" x14ac:dyDescent="0.35">
      <c r="A318">
        <f>YEAR(B318)</f>
        <v>2020</v>
      </c>
      <c r="B318" s="12">
        <f>DATE(YEAR(G318),MONTH(G318),DAY(1))</f>
        <v>44166</v>
      </c>
      <c r="C318">
        <f>IF(E318&lt;&gt;E317,C317+1,C317)</f>
        <v>34</v>
      </c>
      <c r="D318" s="6" t="s">
        <v>327</v>
      </c>
      <c r="E318" s="6" t="s">
        <v>152</v>
      </c>
      <c r="F318" s="6" t="s">
        <v>346</v>
      </c>
      <c r="G318" s="1">
        <v>44180</v>
      </c>
      <c r="H318" s="1">
        <v>46006</v>
      </c>
      <c r="I318" s="7">
        <f>IF(H318-G318&gt;(365*5),1,0)</f>
        <v>1</v>
      </c>
      <c r="J318" s="6">
        <v>0</v>
      </c>
      <c r="K318" s="9" t="str">
        <f>IF($N318="USD",INDEX('Dólar Spot'!$C:$C,MATCH(Base!$G300,'Dólar Spot'!$A:$A,0)),"")</f>
        <v/>
      </c>
      <c r="L318" s="8">
        <v>150000000</v>
      </c>
      <c r="M318" s="7">
        <f>IF(N318="USD",L318*K318/1000000,L318/1000000)</f>
        <v>150</v>
      </c>
      <c r="N318" s="6" t="s">
        <v>348</v>
      </c>
      <c r="O318" s="9" t="str" cm="1">
        <f t="array" ref="O318">INDEX(Ratings!$B$2:$L$42,_xlfn.XMATCH(Base!E300,Ratings!$A$2:$A$42),_xlfn.XMATCH(YEAR(Base!G300),Ratings!$B$1:$L$1))</f>
        <v>B</v>
      </c>
      <c r="P318">
        <f>IF(AND(O318&lt;&gt;"BBB-",O318&lt;&gt;"BBB",O318&lt;&gt;"BBB+"),0,1)</f>
        <v>0</v>
      </c>
      <c r="Q318" s="7">
        <f>INDEX('Bonds ANBIMA'!$F:$F,MATCH(Base!$B300,'Bonds ANBIMA'!$A:$A,0))</f>
        <v>2405.3373666666662</v>
      </c>
      <c r="R318" s="21">
        <f>INDEX('Bonds ANBIMA'!$H:$H,MATCH(Base!$B300,'Bonds ANBIMA'!$A:$A,0))</f>
        <v>0.61224489795918369</v>
      </c>
      <c r="S318" s="7">
        <f>INDEX('Debêntures ANBIMA'!$O:$O,MATCH(Base!$B300,'Debêntures ANBIMA'!$A:$A,0))</f>
        <v>151.84877551020409</v>
      </c>
      <c r="T318" s="24">
        <f>INDEX('Debêntures ANBIMA'!$P:$P,MATCH(Base!$B300,'Debêntures ANBIMA'!$A:$A,0))</f>
        <v>0.84676813684450236</v>
      </c>
    </row>
    <row r="319" spans="1:20" x14ac:dyDescent="0.35">
      <c r="A319">
        <f>YEAR(B319)</f>
        <v>2018</v>
      </c>
      <c r="B319" s="12">
        <f>DATE(YEAR(G319),MONTH(G319),DAY(1))</f>
        <v>43160</v>
      </c>
      <c r="C319">
        <f>IF(E319&lt;&gt;E318,C318+1,C318)</f>
        <v>34</v>
      </c>
      <c r="D319" s="6" t="s">
        <v>327</v>
      </c>
      <c r="E319" s="6" t="s">
        <v>152</v>
      </c>
      <c r="F319" s="6" t="s">
        <v>346</v>
      </c>
      <c r="G319" s="1">
        <v>43188</v>
      </c>
      <c r="H319" s="1">
        <v>45014</v>
      </c>
      <c r="I319" s="7">
        <f>IF(H319-G319&gt;(365*5),1,0)</f>
        <v>1</v>
      </c>
      <c r="J319" s="6">
        <v>0</v>
      </c>
      <c r="K319" s="9" t="str">
        <f>IF($N319="USD",INDEX('Dólar Spot'!$C:$C,MATCH(Base!$G301,'Dólar Spot'!$A:$A,0)),"")</f>
        <v/>
      </c>
      <c r="L319" s="8">
        <v>250000000</v>
      </c>
      <c r="M319" s="7">
        <f>IF(N319="USD",L319*K319/1000000,L319/1000000)</f>
        <v>250</v>
      </c>
      <c r="N319" s="6" t="s">
        <v>348</v>
      </c>
      <c r="O319" s="9" t="str" cm="1">
        <f t="array" ref="O319">INDEX(Ratings!$B$2:$L$42,_xlfn.XMATCH(Base!E301,Ratings!$A$2:$A$42),_xlfn.XMATCH(YEAR(Base!G301),Ratings!$B$1:$L$1))</f>
        <v>B</v>
      </c>
      <c r="P319">
        <f>IF(AND(O319&lt;&gt;"BBB-",O319&lt;&gt;"BBB",O319&lt;&gt;"BBB+"),0,1)</f>
        <v>0</v>
      </c>
      <c r="Q319" s="7">
        <f>INDEX('Bonds ANBIMA'!$F:$F,MATCH(Base!$B301,'Bonds ANBIMA'!$A:$A,0))</f>
        <v>2151.6290833333328</v>
      </c>
      <c r="R319" s="21">
        <f>INDEX('Bonds ANBIMA'!$H:$H,MATCH(Base!$B301,'Bonds ANBIMA'!$A:$A,0))</f>
        <v>0.61224489795918369</v>
      </c>
      <c r="S319" s="7">
        <f>INDEX('Debêntures ANBIMA'!$O:$O,MATCH(Base!$B301,'Debêntures ANBIMA'!$A:$A,0))</f>
        <v>324.60000000000002</v>
      </c>
      <c r="T319" s="24">
        <f>INDEX('Debêntures ANBIMA'!$P:$P,MATCH(Base!$B301,'Debêntures ANBIMA'!$A:$A,0))</f>
        <v>0.9491682070240296</v>
      </c>
    </row>
    <row r="320" spans="1:20" x14ac:dyDescent="0.35">
      <c r="A320">
        <f>YEAR(B320)</f>
        <v>2018</v>
      </c>
      <c r="B320" s="12">
        <f>DATE(YEAR(G320),MONTH(G320),DAY(1))</f>
        <v>43374</v>
      </c>
      <c r="C320">
        <f>IF(E320&lt;&gt;E319,C319+1,C319)</f>
        <v>34</v>
      </c>
      <c r="D320" s="6" t="s">
        <v>327</v>
      </c>
      <c r="E320" s="6" t="s">
        <v>152</v>
      </c>
      <c r="F320" s="6" t="s">
        <v>346</v>
      </c>
      <c r="G320" s="1">
        <v>43383</v>
      </c>
      <c r="H320" s="1">
        <v>44479</v>
      </c>
      <c r="I320" s="7">
        <f>IF(H320-G320&gt;(365*5),1,0)</f>
        <v>0</v>
      </c>
      <c r="J320" s="6">
        <v>0</v>
      </c>
      <c r="K320" s="9" t="str">
        <f>IF($N320="USD",INDEX('Dólar Spot'!$C:$C,MATCH(Base!$G302,'Dólar Spot'!$A:$A,0)),"")</f>
        <v/>
      </c>
      <c r="L320" s="8">
        <v>100000000</v>
      </c>
      <c r="M320" s="7">
        <f>IF(N320="USD",L320*K320/1000000,L320/1000000)</f>
        <v>100</v>
      </c>
      <c r="N320" s="6" t="s">
        <v>348</v>
      </c>
      <c r="O320" s="9" t="str" cm="1">
        <f t="array" ref="O320">INDEX(Ratings!$B$2:$L$42,_xlfn.XMATCH(Base!E302,Ratings!$A$2:$A$42),_xlfn.XMATCH(YEAR(Base!G302),Ratings!$B$1:$L$1))</f>
        <v>BB</v>
      </c>
      <c r="P320">
        <f>IF(AND(O320&lt;&gt;"BBB-",O320&lt;&gt;"BBB",O320&lt;&gt;"BBB+"),0,1)</f>
        <v>0</v>
      </c>
      <c r="Q320" s="7">
        <f>INDEX('Bonds ANBIMA'!$F:$F,MATCH(Base!$B302,'Bonds ANBIMA'!$A:$A,0))</f>
        <v>4234.1608695652185</v>
      </c>
      <c r="R320" s="21">
        <f>INDEX('Bonds ANBIMA'!$H:$H,MATCH(Base!$B302,'Bonds ANBIMA'!$A:$A,0))</f>
        <v>0.83333333333333337</v>
      </c>
      <c r="S320" s="7">
        <f>INDEX('Debêntures ANBIMA'!$O:$O,MATCH(Base!$B302,'Debêntures ANBIMA'!$A:$A,0))</f>
        <v>211.8235593220339</v>
      </c>
      <c r="T320" s="24">
        <f>INDEX('Debêntures ANBIMA'!$P:$P,MATCH(Base!$B302,'Debêntures ANBIMA'!$A:$A,0))</f>
        <v>0.63939958221690119</v>
      </c>
    </row>
    <row r="321" spans="1:20" x14ac:dyDescent="0.35">
      <c r="A321">
        <f>YEAR(B321)</f>
        <v>2019</v>
      </c>
      <c r="B321" s="12">
        <f>DATE(YEAR(G321),MONTH(G321),DAY(1))</f>
        <v>43617</v>
      </c>
      <c r="C321">
        <f>IF(E321&lt;&gt;E320,C320+1,C320)</f>
        <v>34</v>
      </c>
      <c r="D321" s="6" t="s">
        <v>327</v>
      </c>
      <c r="E321" s="6" t="s">
        <v>152</v>
      </c>
      <c r="F321" s="6" t="s">
        <v>346</v>
      </c>
      <c r="G321" s="1">
        <v>43640</v>
      </c>
      <c r="H321" s="1">
        <v>45315</v>
      </c>
      <c r="I321" s="7">
        <f>IF(H321-G321&gt;(365*5),1,0)</f>
        <v>0</v>
      </c>
      <c r="J321" s="6">
        <v>0</v>
      </c>
      <c r="K321" s="9" t="str">
        <f>IF($N321="USD",INDEX('Dólar Spot'!$C:$C,MATCH(Base!$G303,'Dólar Spot'!$A:$A,0)),"")</f>
        <v/>
      </c>
      <c r="L321" s="8">
        <v>200000000</v>
      </c>
      <c r="M321" s="7">
        <f>IF(N321="USD",L321*K321/1000000,L321/1000000)</f>
        <v>200</v>
      </c>
      <c r="N321" s="6" t="s">
        <v>348</v>
      </c>
      <c r="O321" s="9" t="str" cm="1">
        <f t="array" ref="O321">INDEX(Ratings!$B$2:$L$42,_xlfn.XMATCH(Base!E303,Ratings!$A$2:$A$42),_xlfn.XMATCH(YEAR(Base!G303),Ratings!$B$1:$L$1))</f>
        <v>BB-</v>
      </c>
      <c r="P321">
        <f>IF(AND(O321&lt;&gt;"BBB-",O321&lt;&gt;"BBB",O321&lt;&gt;"BBB+"),0,1)</f>
        <v>0</v>
      </c>
      <c r="Q321" s="7">
        <f>INDEX('Bonds ANBIMA'!$F:$F,MATCH(Base!$B303,'Bonds ANBIMA'!$A:$A,0))</f>
        <v>1535.9446666666665</v>
      </c>
      <c r="R321" s="21">
        <f>INDEX('Bonds ANBIMA'!$H:$H,MATCH(Base!$B303,'Bonds ANBIMA'!$A:$A,0))</f>
        <v>0.89473684210526316</v>
      </c>
      <c r="S321" s="7">
        <f>INDEX('Debêntures ANBIMA'!$O:$O,MATCH(Base!$B303,'Debêntures ANBIMA'!$A:$A,0))</f>
        <v>259.67190909090914</v>
      </c>
      <c r="T321" s="24">
        <f>INDEX('Debêntures ANBIMA'!$P:$P,MATCH(Base!$B303,'Debêntures ANBIMA'!$A:$A,0))</f>
        <v>0.36330056435990116</v>
      </c>
    </row>
    <row r="322" spans="1:20" x14ac:dyDescent="0.35">
      <c r="A322">
        <f>YEAR(B322)</f>
        <v>2020</v>
      </c>
      <c r="B322" s="12">
        <f>DATE(YEAR(G322),MONTH(G322),DAY(1))</f>
        <v>43922</v>
      </c>
      <c r="C322">
        <f>IF(E322&lt;&gt;E321,C321+1,C321)</f>
        <v>34</v>
      </c>
      <c r="D322" s="6" t="s">
        <v>327</v>
      </c>
      <c r="E322" s="6" t="s">
        <v>152</v>
      </c>
      <c r="F322" s="6" t="s">
        <v>346</v>
      </c>
      <c r="G322" s="1">
        <v>43951</v>
      </c>
      <c r="H322" s="1">
        <v>44671</v>
      </c>
      <c r="I322" s="7">
        <f>IF(H322-G322&gt;(365*5),1,0)</f>
        <v>0</v>
      </c>
      <c r="J322" s="6">
        <v>0</v>
      </c>
      <c r="K322" s="9" t="str">
        <f>IF($N322="USD",INDEX('Dólar Spot'!$C:$C,MATCH(Base!$G304,'Dólar Spot'!$A:$A,0)),"")</f>
        <v/>
      </c>
      <c r="L322" s="8">
        <v>200000000</v>
      </c>
      <c r="M322" s="7">
        <f>IF(N322="USD",L322*K322/1000000,L322/1000000)</f>
        <v>200</v>
      </c>
      <c r="N322" s="6" t="s">
        <v>348</v>
      </c>
      <c r="O322" s="9" t="str" cm="1">
        <f t="array" ref="O322">INDEX(Ratings!$B$2:$L$42,_xlfn.XMATCH(Base!E304,Ratings!$A$2:$A$42),_xlfn.XMATCH(YEAR(Base!G304),Ratings!$B$1:$L$1))</f>
        <v>BB-</v>
      </c>
      <c r="P322">
        <f>IF(AND(O322&lt;&gt;"BBB-",O322&lt;&gt;"BBB",O322&lt;&gt;"BBB+"),0,1)</f>
        <v>0</v>
      </c>
      <c r="Q322" s="7">
        <f>INDEX('Bonds ANBIMA'!$F:$F,MATCH(Base!$B304,'Bonds ANBIMA'!$A:$A,0))</f>
        <v>2441.8285714285716</v>
      </c>
      <c r="R322" s="21">
        <f>INDEX('Bonds ANBIMA'!$H:$H,MATCH(Base!$B304,'Bonds ANBIMA'!$A:$A,0))</f>
        <v>0.75</v>
      </c>
      <c r="S322" s="7">
        <f>INDEX('Debêntures ANBIMA'!$O:$O,MATCH(Base!$B304,'Debêntures ANBIMA'!$A:$A,0))</f>
        <v>73.092857142857142</v>
      </c>
      <c r="T322" s="24">
        <f>INDEX('Debêntures ANBIMA'!$P:$P,MATCH(Base!$B304,'Debêntures ANBIMA'!$A:$A,0))</f>
        <v>0.37721098407114234</v>
      </c>
    </row>
    <row r="323" spans="1:20" x14ac:dyDescent="0.35">
      <c r="A323">
        <f>YEAR(B323)</f>
        <v>2020</v>
      </c>
      <c r="B323" s="12">
        <f>DATE(YEAR(G323),MONTH(G323),DAY(1))</f>
        <v>44136</v>
      </c>
      <c r="C323">
        <f>IF(E323&lt;&gt;E322,C322+1,C322)</f>
        <v>34</v>
      </c>
      <c r="D323" s="6" t="s">
        <v>327</v>
      </c>
      <c r="E323" s="6" t="s">
        <v>152</v>
      </c>
      <c r="F323" s="6" t="s">
        <v>346</v>
      </c>
      <c r="G323" s="1">
        <v>44153</v>
      </c>
      <c r="H323" s="1">
        <v>45248</v>
      </c>
      <c r="I323" s="7">
        <f>IF(H323-G323&gt;(365*5),1,0)</f>
        <v>0</v>
      </c>
      <c r="J323" s="6">
        <v>0</v>
      </c>
      <c r="K323" s="9" t="str">
        <f>IF($N323="USD",INDEX('Dólar Spot'!$C:$C,MATCH(Base!$G305,'Dólar Spot'!$A:$A,0)),"")</f>
        <v/>
      </c>
      <c r="L323" s="8">
        <v>200000000</v>
      </c>
      <c r="M323" s="7">
        <f>IF(N323="USD",L323*K323/1000000,L323/1000000)</f>
        <v>200</v>
      </c>
      <c r="N323" s="6" t="s">
        <v>348</v>
      </c>
      <c r="O323" s="9" t="str" cm="1">
        <f t="array" ref="O323">INDEX(Ratings!$B$2:$L$42,_xlfn.XMATCH(Base!E305,Ratings!$A$2:$A$42),_xlfn.XMATCH(YEAR(Base!G305),Ratings!$B$1:$L$1))</f>
        <v>BB</v>
      </c>
      <c r="P323">
        <f>IF(AND(O323&lt;&gt;"BBB-",O323&lt;&gt;"BBB",O323&lt;&gt;"BBB+"),0,1)</f>
        <v>0</v>
      </c>
      <c r="Q323" s="7">
        <f>INDEX('Bonds ANBIMA'!$F:$F,MATCH(Base!$B305,'Bonds ANBIMA'!$A:$A,0))</f>
        <v>3609.2190909090909</v>
      </c>
      <c r="R323" s="21">
        <f>INDEX('Bonds ANBIMA'!$H:$H,MATCH(Base!$B305,'Bonds ANBIMA'!$A:$A,0))</f>
        <v>0.79166666666666663</v>
      </c>
      <c r="S323" s="7">
        <f>INDEX('Debêntures ANBIMA'!$O:$O,MATCH(Base!$B305,'Debêntures ANBIMA'!$A:$A,0))</f>
        <v>568.24089808413794</v>
      </c>
      <c r="T323" s="24">
        <f>INDEX('Debêntures ANBIMA'!$P:$P,MATCH(Base!$B305,'Debêntures ANBIMA'!$A:$A,0))</f>
        <v>0.46520214713834979</v>
      </c>
    </row>
    <row r="324" spans="1:20" x14ac:dyDescent="0.35">
      <c r="A324">
        <f>YEAR(B324)</f>
        <v>2021</v>
      </c>
      <c r="B324" s="12">
        <f>DATE(YEAR(G324),MONTH(G324),DAY(1))</f>
        <v>44287</v>
      </c>
      <c r="C324">
        <f>IF(E324&lt;&gt;E323,C323+1,C323)</f>
        <v>34</v>
      </c>
      <c r="D324" s="6" t="s">
        <v>327</v>
      </c>
      <c r="E324" s="6" t="s">
        <v>152</v>
      </c>
      <c r="F324" s="6" t="s">
        <v>346</v>
      </c>
      <c r="G324" s="1">
        <v>44301</v>
      </c>
      <c r="H324" s="1">
        <v>46919</v>
      </c>
      <c r="I324" s="7">
        <f>IF(H324-G324&gt;(365*5),1,0)</f>
        <v>1</v>
      </c>
      <c r="J324" s="6">
        <v>1</v>
      </c>
      <c r="K324" s="9" t="str">
        <f>IF($N324="USD",INDEX('Dólar Spot'!$C:$C,MATCH(Base!$G306,'Dólar Spot'!$A:$A,0)),"")</f>
        <v/>
      </c>
      <c r="L324" s="8">
        <v>400000000</v>
      </c>
      <c r="M324" s="7">
        <f>IF(N324="USD",L324*K324/1000000,L324/1000000)</f>
        <v>400</v>
      </c>
      <c r="N324" s="6" t="s">
        <v>347</v>
      </c>
      <c r="O324" s="9" t="str" cm="1">
        <f t="array" ref="O324">INDEX(Ratings!$B$2:$L$42,_xlfn.XMATCH(Base!E306,Ratings!$A$2:$A$42),_xlfn.XMATCH(YEAR(Base!G306),Ratings!$B$1:$L$1))</f>
        <v>B+</v>
      </c>
      <c r="P324">
        <f>IF(AND(O324&lt;&gt;"BBB-",O324&lt;&gt;"BBB",O324&lt;&gt;"BBB+"),0,1)</f>
        <v>0</v>
      </c>
      <c r="Q324" s="7">
        <f>INDEX('Bonds ANBIMA'!$F:$F,MATCH(Base!$B306,'Bonds ANBIMA'!$A:$A,0))</f>
        <v>2151.6290833333328</v>
      </c>
      <c r="R324" s="21">
        <f>INDEX('Bonds ANBIMA'!$H:$H,MATCH(Base!$B306,'Bonds ANBIMA'!$A:$A,0))</f>
        <v>0.61224489795918369</v>
      </c>
      <c r="S324" s="7">
        <f>INDEX('Debêntures ANBIMA'!$O:$O,MATCH(Base!$B306,'Debêntures ANBIMA'!$A:$A,0))</f>
        <v>324.60000000000002</v>
      </c>
      <c r="T324" s="24">
        <f>INDEX('Debêntures ANBIMA'!$P:$P,MATCH(Base!$B306,'Debêntures ANBIMA'!$A:$A,0))</f>
        <v>0.9491682070240296</v>
      </c>
    </row>
    <row r="325" spans="1:20" x14ac:dyDescent="0.35">
      <c r="A325">
        <f>YEAR(B325)</f>
        <v>2021</v>
      </c>
      <c r="B325" s="12">
        <f>DATE(YEAR(G325),MONTH(G325),DAY(1))</f>
        <v>44501</v>
      </c>
      <c r="C325">
        <f>IF(E325&lt;&gt;E324,C324+1,C324)</f>
        <v>34</v>
      </c>
      <c r="D325" s="6" t="s">
        <v>327</v>
      </c>
      <c r="E325" s="6" t="s">
        <v>152</v>
      </c>
      <c r="F325" s="6" t="s">
        <v>346</v>
      </c>
      <c r="G325" s="1">
        <v>44530</v>
      </c>
      <c r="H325" s="1">
        <v>46356</v>
      </c>
      <c r="I325" s="7">
        <f>IF(H325-G325&gt;(365*5),1,0)</f>
        <v>1</v>
      </c>
      <c r="J325" s="6">
        <v>1</v>
      </c>
      <c r="K325" s="9" t="str">
        <f>IF($N325="USD",INDEX('Dólar Spot'!$C:$C,MATCH(Base!$G307,'Dólar Spot'!$A:$A,0)),"")</f>
        <v/>
      </c>
      <c r="L325" s="8">
        <v>400000000</v>
      </c>
      <c r="M325" s="7">
        <f>IF(N325="USD",L325*K325/1000000,L325/1000000)</f>
        <v>400</v>
      </c>
      <c r="N325" s="6" t="s">
        <v>348</v>
      </c>
      <c r="O325" s="9" t="str" cm="1">
        <f t="array" ref="O325">INDEX(Ratings!$B$2:$L$42,_xlfn.XMATCH(Base!E307,Ratings!$A$2:$A$42),_xlfn.XMATCH(YEAR(Base!G307),Ratings!$B$1:$L$1))</f>
        <v>BB-</v>
      </c>
      <c r="P325">
        <f>IF(AND(O325&lt;&gt;"BBB-",O325&lt;&gt;"BBB",O325&lt;&gt;"BBB+"),0,1)</f>
        <v>0</v>
      </c>
      <c r="Q325" s="7">
        <f>INDEX('Bonds ANBIMA'!$F:$F,MATCH(Base!$B307,'Bonds ANBIMA'!$A:$A,0))</f>
        <v>1153.1683333333333</v>
      </c>
      <c r="R325" s="21">
        <f>INDEX('Bonds ANBIMA'!$H:$H,MATCH(Base!$B307,'Bonds ANBIMA'!$A:$A,0))</f>
        <v>0.88235294117647056</v>
      </c>
      <c r="S325" s="7">
        <f>INDEX('Debêntures ANBIMA'!$O:$O,MATCH(Base!$B307,'Debêntures ANBIMA'!$A:$A,0))</f>
        <v>220.95972972972973</v>
      </c>
      <c r="T325" s="24">
        <f>INDEX('Debêntures ANBIMA'!$P:$P,MATCH(Base!$B307,'Debêntures ANBIMA'!$A:$A,0))</f>
        <v>0.58100953466689709</v>
      </c>
    </row>
    <row r="326" spans="1:20" x14ac:dyDescent="0.35">
      <c r="A326">
        <f>YEAR(B326)</f>
        <v>2021</v>
      </c>
      <c r="B326" s="12">
        <f>DATE(YEAR(G326),MONTH(G326),DAY(1))</f>
        <v>44287</v>
      </c>
      <c r="C326">
        <f>IF(E326&lt;&gt;E325,C325+1,C325)</f>
        <v>34</v>
      </c>
      <c r="D326" s="6" t="s">
        <v>327</v>
      </c>
      <c r="E326" s="6" t="s">
        <v>152</v>
      </c>
      <c r="F326" s="6" t="s">
        <v>346</v>
      </c>
      <c r="G326" s="1">
        <v>44301</v>
      </c>
      <c r="H326" s="1">
        <v>46006</v>
      </c>
      <c r="I326" s="7">
        <f>IF(H326-G326&gt;(365*5),1,0)</f>
        <v>0</v>
      </c>
      <c r="J326" s="6">
        <v>1</v>
      </c>
      <c r="K326" s="9" t="str">
        <f>IF($N326="USD",INDEX('Dólar Spot'!$C:$C,MATCH(Base!$G308,'Dólar Spot'!$A:$A,0)),"")</f>
        <v/>
      </c>
      <c r="L326" s="8">
        <v>300000000</v>
      </c>
      <c r="M326" s="7">
        <f>IF(N326="USD",L326*K326/1000000,L326/1000000)</f>
        <v>300</v>
      </c>
      <c r="N326" s="6" t="s">
        <v>347</v>
      </c>
      <c r="O326" s="9" t="str" cm="1">
        <f t="array" ref="O326">INDEX(Ratings!$B$2:$L$42,_xlfn.XMATCH(Base!E308,Ratings!$A$2:$A$42),_xlfn.XMATCH(YEAR(Base!G308),Ratings!$B$1:$L$1))</f>
        <v>B+</v>
      </c>
      <c r="P326">
        <f>IF(AND(O326&lt;&gt;"BBB-",O326&lt;&gt;"BBB",O326&lt;&gt;"BBB+"),0,1)</f>
        <v>0</v>
      </c>
      <c r="Q326" s="7">
        <f>INDEX('Bonds ANBIMA'!$F:$F,MATCH(Base!$B308,'Bonds ANBIMA'!$A:$A,0))</f>
        <v>1444.0059189189192</v>
      </c>
      <c r="R326" s="21">
        <f>INDEX('Bonds ANBIMA'!$H:$H,MATCH(Base!$B308,'Bonds ANBIMA'!$A:$A,0))</f>
        <v>0.81690140845070425</v>
      </c>
      <c r="S326" s="7">
        <f>INDEX('Debêntures ANBIMA'!$O:$O,MATCH(Base!$B308,'Debêntures ANBIMA'!$A:$A,0))</f>
        <v>289.86818181818182</v>
      </c>
      <c r="T326" s="24">
        <f>INDEX('Debêntures ANBIMA'!$P:$P,MATCH(Base!$B308,'Debêntures ANBIMA'!$A:$A,0))</f>
        <v>0.52744978124852993</v>
      </c>
    </row>
    <row r="327" spans="1:20" x14ac:dyDescent="0.35">
      <c r="A327">
        <f>YEAR(B327)</f>
        <v>2017</v>
      </c>
      <c r="B327" s="12">
        <f>DATE(YEAR(G327),MONTH(G327),DAY(1))</f>
        <v>42917</v>
      </c>
      <c r="C327">
        <f>IF(E327&lt;&gt;E326,C326+1,C326)</f>
        <v>34</v>
      </c>
      <c r="D327" s="6" t="s">
        <v>328</v>
      </c>
      <c r="E327" s="6" t="s">
        <v>152</v>
      </c>
      <c r="F327" s="6" t="s">
        <v>346</v>
      </c>
      <c r="G327" s="1">
        <v>42931</v>
      </c>
      <c r="H327" s="1">
        <v>44027</v>
      </c>
      <c r="I327" s="7">
        <f>IF(H327-G327&gt;(365*5),1,0)</f>
        <v>0</v>
      </c>
      <c r="J327" s="6">
        <v>0</v>
      </c>
      <c r="K327" s="9" t="str">
        <f>IF($N327="USD",INDEX('Dólar Spot'!$C:$C,MATCH(Base!$G309,'Dólar Spot'!$A:$A,0)),"")</f>
        <v/>
      </c>
      <c r="L327" s="8">
        <v>150000000</v>
      </c>
      <c r="M327" s="7">
        <f>IF(N327="USD",L327*K327/1000000,L327/1000000)</f>
        <v>150</v>
      </c>
      <c r="N327" s="6" t="s">
        <v>348</v>
      </c>
      <c r="O327" s="9" t="str" cm="1">
        <f t="array" ref="O327">INDEX(Ratings!$B$2:$L$42,_xlfn.XMATCH(Base!E309,Ratings!$A$2:$A$42),_xlfn.XMATCH(YEAR(Base!G309),Ratings!$B$1:$L$1))</f>
        <v>BB-</v>
      </c>
      <c r="P327">
        <f>IF(AND(O327&lt;&gt;"BBB-",O327&lt;&gt;"BBB",O327&lt;&gt;"BBB+"),0,1)</f>
        <v>0</v>
      </c>
      <c r="Q327" s="7">
        <f>INDEX('Bonds ANBIMA'!$F:$F,MATCH(Base!$B309,'Bonds ANBIMA'!$A:$A,0))</f>
        <v>1980.7775543778798</v>
      </c>
      <c r="R327" s="21">
        <f>INDEX('Bonds ANBIMA'!$H:$H,MATCH(Base!$B309,'Bonds ANBIMA'!$A:$A,0))</f>
        <v>0.7592592592592593</v>
      </c>
      <c r="S327" s="7">
        <f>INDEX('Debêntures ANBIMA'!$O:$O,MATCH(Base!$B309,'Debêntures ANBIMA'!$A:$A,0))</f>
        <v>130.96153846153845</v>
      </c>
      <c r="T327" s="24">
        <f>INDEX('Debêntures ANBIMA'!$P:$P,MATCH(Base!$B309,'Debêntures ANBIMA'!$A:$A,0))</f>
        <v>0.58429368575624085</v>
      </c>
    </row>
    <row r="328" spans="1:20" x14ac:dyDescent="0.35">
      <c r="A328">
        <f>YEAR(B328)</f>
        <v>2018</v>
      </c>
      <c r="B328" s="12">
        <f>DATE(YEAR(G328),MONTH(G328),DAY(1))</f>
        <v>43252</v>
      </c>
      <c r="C328">
        <f>IF(E328&lt;&gt;E327,C327+1,C327)</f>
        <v>34</v>
      </c>
      <c r="D328" s="6" t="s">
        <v>328</v>
      </c>
      <c r="E328" s="6" t="s">
        <v>152</v>
      </c>
      <c r="F328" s="6" t="s">
        <v>346</v>
      </c>
      <c r="G328" s="1">
        <v>43258</v>
      </c>
      <c r="H328" s="1">
        <v>44354</v>
      </c>
      <c r="I328" s="7">
        <f>IF(H328-G328&gt;(365*5),1,0)</f>
        <v>0</v>
      </c>
      <c r="J328" s="6">
        <v>0</v>
      </c>
      <c r="K328" s="9" t="str">
        <f>IF($N328="USD",INDEX('Dólar Spot'!$C:$C,MATCH(Base!$G310,'Dólar Spot'!$A:$A,0)),"")</f>
        <v/>
      </c>
      <c r="L328" s="8">
        <v>138250000</v>
      </c>
      <c r="M328" s="7">
        <f>IF(N328="USD",L328*K328/1000000,L328/1000000)</f>
        <v>138.25</v>
      </c>
      <c r="N328" s="6" t="s">
        <v>348</v>
      </c>
      <c r="O328" s="9" t="str" cm="1">
        <f t="array" ref="O328">INDEX(Ratings!$B$2:$L$42,_xlfn.XMATCH(Base!E310,Ratings!$A$2:$A$42),_xlfn.XMATCH(YEAR(Base!G310),Ratings!$B$1:$L$1))</f>
        <v>B+</v>
      </c>
      <c r="P328">
        <f>IF(AND(O328&lt;&gt;"BBB-",O328&lt;&gt;"BBB",O328&lt;&gt;"BBB+"),0,1)</f>
        <v>0</v>
      </c>
      <c r="Q328" s="7">
        <f>INDEX('Bonds ANBIMA'!$F:$F,MATCH(Base!$B310,'Bonds ANBIMA'!$A:$A,0))</f>
        <v>1382.0987169274538</v>
      </c>
      <c r="R328" s="21">
        <f>INDEX('Bonds ANBIMA'!$H:$H,MATCH(Base!$B310,'Bonds ANBIMA'!$A:$A,0))</f>
        <v>0.81690140845070425</v>
      </c>
      <c r="S328" s="7">
        <f>INDEX('Debêntures ANBIMA'!$O:$O,MATCH(Base!$B310,'Debêntures ANBIMA'!$A:$A,0))</f>
        <v>216.71153846153845</v>
      </c>
      <c r="T328" s="24">
        <f>INDEX('Debêntures ANBIMA'!$P:$P,MATCH(Base!$B310,'Debêntures ANBIMA'!$A:$A,0))</f>
        <v>0.91569793238086783</v>
      </c>
    </row>
    <row r="329" spans="1:20" x14ac:dyDescent="0.35">
      <c r="A329">
        <f>YEAR(B329)</f>
        <v>2018</v>
      </c>
      <c r="B329" s="12">
        <f>DATE(YEAR(G329),MONTH(G329),DAY(1))</f>
        <v>43435</v>
      </c>
      <c r="C329">
        <f>IF(E329&lt;&gt;E328,C328+1,C328)</f>
        <v>34</v>
      </c>
      <c r="D329" s="6" t="s">
        <v>328</v>
      </c>
      <c r="E329" s="6" t="s">
        <v>152</v>
      </c>
      <c r="F329" s="6" t="s">
        <v>346</v>
      </c>
      <c r="G329" s="1">
        <v>43441</v>
      </c>
      <c r="H329" s="1">
        <v>45450</v>
      </c>
      <c r="I329" s="7">
        <f>IF(H329-G329&gt;(365*5),1,0)</f>
        <v>1</v>
      </c>
      <c r="J329" s="6">
        <v>0</v>
      </c>
      <c r="K329" s="9" t="str">
        <f>IF($N329="USD",INDEX('Dólar Spot'!$C:$C,MATCH(Base!$G311,'Dólar Spot'!$A:$A,0)),"")</f>
        <v/>
      </c>
      <c r="L329" s="8">
        <v>214478000</v>
      </c>
      <c r="M329" s="7">
        <f>IF(N329="USD",L329*K329/1000000,L329/1000000)</f>
        <v>214.47800000000001</v>
      </c>
      <c r="N329" s="6" t="s">
        <v>348</v>
      </c>
      <c r="O329" s="9" t="str" cm="1">
        <f t="array" ref="O329">INDEX(Ratings!$B$2:$L$42,_xlfn.XMATCH(Base!E311,Ratings!$A$2:$A$42),_xlfn.XMATCH(YEAR(Base!G311),Ratings!$B$1:$L$1))</f>
        <v>B+</v>
      </c>
      <c r="P329">
        <f>IF(AND(O329&lt;&gt;"BBB-",O329&lt;&gt;"BBB",O329&lt;&gt;"BBB+"),0,1)</f>
        <v>0</v>
      </c>
      <c r="Q329" s="7">
        <f>INDEX('Bonds ANBIMA'!$F:$F,MATCH(Base!$B311,'Bonds ANBIMA'!$A:$A,0))</f>
        <v>2301.9933750000005</v>
      </c>
      <c r="R329" s="21">
        <f>INDEX('Bonds ANBIMA'!$H:$H,MATCH(Base!$B311,'Bonds ANBIMA'!$A:$A,0))</f>
        <v>0.61224489795918369</v>
      </c>
      <c r="S329" s="7">
        <f>INDEX('Debêntures ANBIMA'!$O:$O,MATCH(Base!$B311,'Debêntures ANBIMA'!$A:$A,0))</f>
        <v>260.72000000000003</v>
      </c>
      <c r="T329" s="24">
        <f>INDEX('Debêntures ANBIMA'!$P:$P,MATCH(Base!$B311,'Debêntures ANBIMA'!$A:$A,0))</f>
        <v>0.69412633912079802</v>
      </c>
    </row>
    <row r="330" spans="1:20" x14ac:dyDescent="0.35">
      <c r="A330">
        <f>YEAR(B330)</f>
        <v>2019</v>
      </c>
      <c r="B330" s="12">
        <f>DATE(YEAR(G330),MONTH(G330),DAY(1))</f>
        <v>43617</v>
      </c>
      <c r="C330">
        <f>IF(E330&lt;&gt;E329,C329+1,C329)</f>
        <v>34</v>
      </c>
      <c r="D330" s="6" t="s">
        <v>328</v>
      </c>
      <c r="E330" s="6" t="s">
        <v>152</v>
      </c>
      <c r="F330" s="6" t="s">
        <v>346</v>
      </c>
      <c r="G330" s="1">
        <v>43643</v>
      </c>
      <c r="H330" s="1">
        <v>44837</v>
      </c>
      <c r="I330" s="7">
        <f>IF(H330-G330&gt;(365*5),1,0)</f>
        <v>0</v>
      </c>
      <c r="J330" s="6">
        <v>0</v>
      </c>
      <c r="K330" s="9" t="str">
        <f>IF($N330="USD",INDEX('Dólar Spot'!$C:$C,MATCH(Base!$G312,'Dólar Spot'!$A:$A,0)),"")</f>
        <v/>
      </c>
      <c r="L330" s="8">
        <v>250000000</v>
      </c>
      <c r="M330" s="7">
        <f>IF(N330="USD",L330*K330/1000000,L330/1000000)</f>
        <v>250</v>
      </c>
      <c r="N330" s="6" t="s">
        <v>348</v>
      </c>
      <c r="O330" s="9" t="str" cm="1">
        <f t="array" ref="O330">INDEX(Ratings!$B$2:$L$42,_xlfn.XMATCH(Base!E312,Ratings!$A$2:$A$42),_xlfn.XMATCH(YEAR(Base!G312),Ratings!$B$1:$L$1))</f>
        <v>BB-</v>
      </c>
      <c r="P330">
        <f>IF(AND(O330&lt;&gt;"BBB-",O330&lt;&gt;"BBB",O330&lt;&gt;"BBB+"),0,1)</f>
        <v>0</v>
      </c>
      <c r="Q330" s="7">
        <f>INDEX('Bonds ANBIMA'!$F:$F,MATCH(Base!$B312,'Bonds ANBIMA'!$A:$A,0))</f>
        <v>1000.2295454545454</v>
      </c>
      <c r="R330" s="21">
        <f>INDEX('Bonds ANBIMA'!$H:$H,MATCH(Base!$B312,'Bonds ANBIMA'!$A:$A,0))</f>
        <v>0.84615384615384615</v>
      </c>
      <c r="S330" s="7">
        <f>INDEX('Debêntures ANBIMA'!$O:$O,MATCH(Base!$B312,'Debêntures ANBIMA'!$A:$A,0))</f>
        <v>326.08475806451617</v>
      </c>
      <c r="T330" s="24">
        <f>INDEX('Debêntures ANBIMA'!$P:$P,MATCH(Base!$B312,'Debêntures ANBIMA'!$A:$A,0))</f>
        <v>0.72465429019647709</v>
      </c>
    </row>
    <row r="331" spans="1:20" x14ac:dyDescent="0.35">
      <c r="A331">
        <f>YEAR(B331)</f>
        <v>2020</v>
      </c>
      <c r="B331" s="12">
        <f>DATE(YEAR(G331),MONTH(G331),DAY(1))</f>
        <v>44105</v>
      </c>
      <c r="C331">
        <f>IF(E331&lt;&gt;E330,C330+1,C330)</f>
        <v>34</v>
      </c>
      <c r="D331" s="6" t="s">
        <v>328</v>
      </c>
      <c r="E331" s="6" t="s">
        <v>152</v>
      </c>
      <c r="F331" s="6" t="s">
        <v>346</v>
      </c>
      <c r="G331" s="1">
        <v>44119</v>
      </c>
      <c r="H331" s="1">
        <v>45214</v>
      </c>
      <c r="I331" s="7">
        <f>IF(H331-G331&gt;(365*5),1,0)</f>
        <v>0</v>
      </c>
      <c r="J331" s="6">
        <v>0</v>
      </c>
      <c r="K331" s="9" t="str">
        <f>IF($N331="USD",INDEX('Dólar Spot'!$C:$C,MATCH(Base!$G313,'Dólar Spot'!$A:$A,0)),"")</f>
        <v/>
      </c>
      <c r="L331" s="8">
        <v>250000000</v>
      </c>
      <c r="M331" s="7">
        <f>IF(N331="USD",L331*K331/1000000,L331/1000000)</f>
        <v>250</v>
      </c>
      <c r="N331" s="6" t="s">
        <v>348</v>
      </c>
      <c r="O331" s="9" t="str" cm="1">
        <f t="array" ref="O331">INDEX(Ratings!$B$2:$L$42,_xlfn.XMATCH(Base!E313,Ratings!$A$2:$A$42),_xlfn.XMATCH(YEAR(Base!G313),Ratings!$B$1:$L$1))</f>
        <v>BB</v>
      </c>
      <c r="P331">
        <f>IF(AND(O331&lt;&gt;"BBB-",O331&lt;&gt;"BBB",O331&lt;&gt;"BBB+"),0,1)</f>
        <v>0</v>
      </c>
      <c r="Q331" s="7">
        <f>INDEX('Bonds ANBIMA'!$F:$F,MATCH(Base!$B313,'Bonds ANBIMA'!$A:$A,0))</f>
        <v>830.90625000000023</v>
      </c>
      <c r="R331" s="21">
        <f>INDEX('Bonds ANBIMA'!$H:$H,MATCH(Base!$B313,'Bonds ANBIMA'!$A:$A,0))</f>
        <v>0.72727272727272729</v>
      </c>
      <c r="S331" s="7">
        <f>INDEX('Debêntures ANBIMA'!$O:$O,MATCH(Base!$B313,'Debêntures ANBIMA'!$A:$A,0))</f>
        <v>433.14238554216865</v>
      </c>
      <c r="T331" s="24">
        <f>INDEX('Debêntures ANBIMA'!$P:$P,MATCH(Base!$B313,'Debêntures ANBIMA'!$A:$A,0))</f>
        <v>0.92091969370314131</v>
      </c>
    </row>
    <row r="332" spans="1:20" x14ac:dyDescent="0.35">
      <c r="A332">
        <f>YEAR(B332)</f>
        <v>2021</v>
      </c>
      <c r="B332" s="12">
        <f>DATE(YEAR(G332),MONTH(G332),DAY(1))</f>
        <v>44287</v>
      </c>
      <c r="C332">
        <f>IF(E332&lt;&gt;E331,C331+1,C331)</f>
        <v>34</v>
      </c>
      <c r="D332" s="6" t="s">
        <v>328</v>
      </c>
      <c r="E332" s="6" t="s">
        <v>152</v>
      </c>
      <c r="F332" s="6" t="s">
        <v>346</v>
      </c>
      <c r="G332" s="1">
        <v>44298</v>
      </c>
      <c r="H332" s="1">
        <v>46492</v>
      </c>
      <c r="I332" s="7">
        <f>IF(H332-G332&gt;(365*5),1,0)</f>
        <v>1</v>
      </c>
      <c r="J332" s="6">
        <v>1</v>
      </c>
      <c r="K332" s="9" t="str">
        <f>IF($N332="USD",INDEX('Dólar Spot'!$C:$C,MATCH(Base!$G314,'Dólar Spot'!$A:$A,0)),"")</f>
        <v/>
      </c>
      <c r="L332" s="8">
        <v>550000000</v>
      </c>
      <c r="M332" s="7">
        <f>IF(N332="USD",L332*K332/1000000,L332/1000000)</f>
        <v>550</v>
      </c>
      <c r="N332" s="6" t="s">
        <v>348</v>
      </c>
      <c r="O332" s="9" t="str" cm="1">
        <f t="array" ref="O332">INDEX(Ratings!$B$2:$L$42,_xlfn.XMATCH(Base!E314,Ratings!$A$2:$A$42),_xlfn.XMATCH(YEAR(Base!G314),Ratings!$B$1:$L$1))</f>
        <v>BB-</v>
      </c>
      <c r="P332">
        <f>IF(AND(O332&lt;&gt;"BBB-",O332&lt;&gt;"BBB",O332&lt;&gt;"BBB+"),0,1)</f>
        <v>0</v>
      </c>
      <c r="Q332" s="7">
        <f>INDEX('Bonds ANBIMA'!$F:$F,MATCH(Base!$B314,'Bonds ANBIMA'!$A:$A,0))</f>
        <v>1861.7137152777777</v>
      </c>
      <c r="R332" s="21">
        <f>INDEX('Bonds ANBIMA'!$H:$H,MATCH(Base!$B314,'Bonds ANBIMA'!$A:$A,0))</f>
        <v>0.9</v>
      </c>
      <c r="S332" s="7">
        <f>INDEX('Debêntures ANBIMA'!$O:$O,MATCH(Base!$B314,'Debêntures ANBIMA'!$A:$A,0))</f>
        <v>444.40800000000002</v>
      </c>
      <c r="T332" s="24">
        <f>INDEX('Debêntures ANBIMA'!$P:$P,MATCH(Base!$B314,'Debêntures ANBIMA'!$A:$A,0))</f>
        <v>0.65436492689733272</v>
      </c>
    </row>
    <row r="333" spans="1:20" x14ac:dyDescent="0.35">
      <c r="A333">
        <f>YEAR(B333)</f>
        <v>2021</v>
      </c>
      <c r="B333" s="12">
        <f>DATE(YEAR(G333),MONTH(G333),DAY(1))</f>
        <v>44440</v>
      </c>
      <c r="C333">
        <f>IF(E333&lt;&gt;E332,C332+1,C332)</f>
        <v>34</v>
      </c>
      <c r="D333" s="6" t="s">
        <v>328</v>
      </c>
      <c r="E333" s="6" t="s">
        <v>152</v>
      </c>
      <c r="F333" s="6" t="s">
        <v>346</v>
      </c>
      <c r="G333" s="1">
        <v>44454</v>
      </c>
      <c r="H333" s="1">
        <v>46280</v>
      </c>
      <c r="I333" s="7">
        <f>IF(H333-G333&gt;(365*5),1,0)</f>
        <v>1</v>
      </c>
      <c r="J333" s="6">
        <v>1</v>
      </c>
      <c r="K333" s="9" t="str">
        <f>IF($N333="USD",INDEX('Dólar Spot'!$C:$C,MATCH(Base!$G315,'Dólar Spot'!$A:$A,0)),"")</f>
        <v/>
      </c>
      <c r="L333" s="8">
        <v>1150000000</v>
      </c>
      <c r="M333" s="7">
        <f>IF(N333="USD",L333*K333/1000000,L333/1000000)</f>
        <v>1150</v>
      </c>
      <c r="N333" s="6" t="s">
        <v>348</v>
      </c>
      <c r="O333" s="9" t="str" cm="1">
        <f t="array" ref="O333">INDEX(Ratings!$B$2:$L$42,_xlfn.XMATCH(Base!E315,Ratings!$A$2:$A$42),_xlfn.XMATCH(YEAR(Base!G315),Ratings!$B$1:$L$1))</f>
        <v>BB-</v>
      </c>
      <c r="P333">
        <f>IF(AND(O333&lt;&gt;"BBB-",O333&lt;&gt;"BBB",O333&lt;&gt;"BBB+"),0,1)</f>
        <v>0</v>
      </c>
      <c r="Q333" s="7">
        <f>INDEX('Bonds ANBIMA'!$F:$F,MATCH(Base!$B315,'Bonds ANBIMA'!$A:$A,0))</f>
        <v>2639.5452380952379</v>
      </c>
      <c r="R333" s="21">
        <f>INDEX('Bonds ANBIMA'!$H:$H,MATCH(Base!$B315,'Bonds ANBIMA'!$A:$A,0))</f>
        <v>0.75</v>
      </c>
      <c r="S333" s="7">
        <f>INDEX('Debêntures ANBIMA'!$O:$O,MATCH(Base!$B315,'Debêntures ANBIMA'!$A:$A,0))</f>
        <v>333.94772061764706</v>
      </c>
      <c r="T333" s="24">
        <f>INDEX('Debêntures ANBIMA'!$P:$P,MATCH(Base!$B315,'Debêntures ANBIMA'!$A:$A,0))</f>
        <v>0.70859317355091667</v>
      </c>
    </row>
    <row r="334" spans="1:20" x14ac:dyDescent="0.35">
      <c r="A334">
        <f>YEAR(B334)</f>
        <v>2017</v>
      </c>
      <c r="B334" s="12">
        <f>DATE(YEAR(G334),MONTH(G334),DAY(1))</f>
        <v>42917</v>
      </c>
      <c r="C334">
        <f>IF(E334&lt;&gt;E333,C333+1,C333)</f>
        <v>34</v>
      </c>
      <c r="D334" s="6" t="s">
        <v>328</v>
      </c>
      <c r="E334" s="6" t="s">
        <v>152</v>
      </c>
      <c r="F334" s="6" t="s">
        <v>346</v>
      </c>
      <c r="G334" s="1">
        <v>42931</v>
      </c>
      <c r="H334" s="1">
        <v>44757</v>
      </c>
      <c r="I334" s="7">
        <f>IF(H334-G334&gt;(365*5),1,0)</f>
        <v>1</v>
      </c>
      <c r="J334" s="6">
        <v>0</v>
      </c>
      <c r="K334" s="9" t="str">
        <f>IF($N334="USD",INDEX('Dólar Spot'!$C:$C,MATCH(Base!$G316,'Dólar Spot'!$A:$A,0)),"")</f>
        <v/>
      </c>
      <c r="L334" s="8">
        <v>250000000</v>
      </c>
      <c r="M334" s="7">
        <f>IF(N334="USD",L334*K334/1000000,L334/1000000)</f>
        <v>250</v>
      </c>
      <c r="N334" s="6" t="s">
        <v>348</v>
      </c>
      <c r="O334" s="9" t="str" cm="1">
        <f t="array" ref="O334">INDEX(Ratings!$B$2:$L$42,_xlfn.XMATCH(Base!E316,Ratings!$A$2:$A$42),_xlfn.XMATCH(YEAR(Base!G316),Ratings!$B$1:$L$1))</f>
        <v>NR</v>
      </c>
      <c r="P334">
        <f>IF(AND(O334&lt;&gt;"BBB-",O334&lt;&gt;"BBB",O334&lt;&gt;"BBB+"),0,1)</f>
        <v>0</v>
      </c>
      <c r="Q334" s="7">
        <f>INDEX('Bonds ANBIMA'!$F:$F,MATCH(Base!$B316,'Bonds ANBIMA'!$A:$A,0))</f>
        <v>3645.236231292517</v>
      </c>
      <c r="R334" s="21">
        <f>INDEX('Bonds ANBIMA'!$H:$H,MATCH(Base!$B316,'Bonds ANBIMA'!$A:$A,0))</f>
        <v>0.85714285714285721</v>
      </c>
      <c r="S334" s="7">
        <f>INDEX('Debêntures ANBIMA'!$O:$O,MATCH(Base!$B316,'Debêntures ANBIMA'!$A:$A,0))</f>
        <v>228.75588888888888</v>
      </c>
      <c r="T334" s="24">
        <f>INDEX('Debêntures ANBIMA'!$P:$P,MATCH(Base!$B316,'Debêntures ANBIMA'!$A:$A,0))</f>
        <v>0.40374409434614222</v>
      </c>
    </row>
    <row r="335" spans="1:20" x14ac:dyDescent="0.35">
      <c r="A335">
        <f>YEAR(B335)</f>
        <v>2018</v>
      </c>
      <c r="B335" s="12">
        <f>DATE(YEAR(G335),MONTH(G335),DAY(1))</f>
        <v>43252</v>
      </c>
      <c r="C335">
        <f>IF(E335&lt;&gt;E334,C334+1,C334)</f>
        <v>34</v>
      </c>
      <c r="D335" s="6" t="s">
        <v>328</v>
      </c>
      <c r="E335" s="6" t="s">
        <v>152</v>
      </c>
      <c r="F335" s="6" t="s">
        <v>346</v>
      </c>
      <c r="G335" s="1">
        <v>43258</v>
      </c>
      <c r="H335" s="1">
        <v>45084</v>
      </c>
      <c r="I335" s="7">
        <f>IF(H335-G335&gt;(365*5),1,0)</f>
        <v>1</v>
      </c>
      <c r="J335" s="6">
        <v>0</v>
      </c>
      <c r="K335" s="9" t="str">
        <f>IF($N335="USD",INDEX('Dólar Spot'!$C:$C,MATCH(Base!$G317,'Dólar Spot'!$A:$A,0)),"")</f>
        <v/>
      </c>
      <c r="L335" s="8">
        <v>181500000</v>
      </c>
      <c r="M335" s="7">
        <f>IF(N335="USD",L335*K335/1000000,L335/1000000)</f>
        <v>181.5</v>
      </c>
      <c r="N335" s="6" t="s">
        <v>348</v>
      </c>
      <c r="O335" s="9" t="str" cm="1">
        <f t="array" ref="O335">INDEX(Ratings!$B$2:$L$42,_xlfn.XMATCH(Base!E317,Ratings!$A$2:$A$42),_xlfn.XMATCH(YEAR(Base!G317),Ratings!$B$1:$L$1))</f>
        <v>NR</v>
      </c>
      <c r="P335">
        <f>IF(AND(O335&lt;&gt;"BBB-",O335&lt;&gt;"BBB",O335&lt;&gt;"BBB+"),0,1)</f>
        <v>0</v>
      </c>
      <c r="Q335" s="7">
        <f>INDEX('Bonds ANBIMA'!$F:$F,MATCH(Base!$B317,'Bonds ANBIMA'!$A:$A,0))</f>
        <v>3344.2145454545453</v>
      </c>
      <c r="R335" s="21">
        <f>INDEX('Bonds ANBIMA'!$H:$H,MATCH(Base!$B317,'Bonds ANBIMA'!$A:$A,0))</f>
        <v>0.72222222222222221</v>
      </c>
      <c r="S335" s="7">
        <f>INDEX('Debêntures ANBIMA'!$O:$O,MATCH(Base!$B317,'Debêntures ANBIMA'!$A:$A,0))</f>
        <v>406.54441818181817</v>
      </c>
      <c r="T335" s="24">
        <f>INDEX('Debêntures ANBIMA'!$P:$P,MATCH(Base!$B317,'Debêntures ANBIMA'!$A:$A,0))</f>
        <v>0.78798019506593575</v>
      </c>
    </row>
    <row r="336" spans="1:20" x14ac:dyDescent="0.35">
      <c r="A336">
        <f>YEAR(B336)</f>
        <v>2018</v>
      </c>
      <c r="B336" s="12">
        <f>DATE(YEAR(G336),MONTH(G336),DAY(1))</f>
        <v>43435</v>
      </c>
      <c r="C336">
        <f>IF(E336&lt;&gt;E335,C335+1,C335)</f>
        <v>34</v>
      </c>
      <c r="D336" s="6" t="s">
        <v>328</v>
      </c>
      <c r="E336" s="6" t="s">
        <v>152</v>
      </c>
      <c r="F336" s="6" t="s">
        <v>346</v>
      </c>
      <c r="G336" s="1">
        <v>43441</v>
      </c>
      <c r="H336" s="1">
        <v>45450</v>
      </c>
      <c r="I336" s="7">
        <f>IF(H336-G336&gt;(365*5),1,0)</f>
        <v>1</v>
      </c>
      <c r="J336" s="6">
        <v>0</v>
      </c>
      <c r="K336" s="9" t="str">
        <f>IF($N336="USD",INDEX('Dólar Spot'!$C:$C,MATCH(Base!$G318,'Dólar Spot'!$A:$A,0)),"")</f>
        <v/>
      </c>
      <c r="L336" s="8">
        <v>138112000</v>
      </c>
      <c r="M336" s="7">
        <f>IF(N336="USD",L336*K336/1000000,L336/1000000)</f>
        <v>138.11199999999999</v>
      </c>
      <c r="N336" s="6" t="s">
        <v>348</v>
      </c>
      <c r="O336" s="9" t="str" cm="1">
        <f t="array" ref="O336">INDEX(Ratings!$B$2:$L$42,_xlfn.XMATCH(Base!E318,Ratings!$A$2:$A$42),_xlfn.XMATCH(YEAR(Base!G318),Ratings!$B$1:$L$1))</f>
        <v>NR</v>
      </c>
      <c r="P336">
        <f>IF(AND(O336&lt;&gt;"BBB-",O336&lt;&gt;"BBB",O336&lt;&gt;"BBB+"),0,1)</f>
        <v>0</v>
      </c>
      <c r="Q336" s="7">
        <f>INDEX('Bonds ANBIMA'!$F:$F,MATCH(Base!$B318,'Bonds ANBIMA'!$A:$A,0))</f>
        <v>3344.2145454545453</v>
      </c>
      <c r="R336" s="21">
        <f>INDEX('Bonds ANBIMA'!$H:$H,MATCH(Base!$B318,'Bonds ANBIMA'!$A:$A,0))</f>
        <v>0.72222222222222221</v>
      </c>
      <c r="S336" s="7">
        <f>INDEX('Debêntures ANBIMA'!$O:$O,MATCH(Base!$B318,'Debêntures ANBIMA'!$A:$A,0))</f>
        <v>406.54441818181817</v>
      </c>
      <c r="T336" s="24">
        <f>INDEX('Debêntures ANBIMA'!$P:$P,MATCH(Base!$B318,'Debêntures ANBIMA'!$A:$A,0))</f>
        <v>0.78798019506593575</v>
      </c>
    </row>
    <row r="337" spans="1:20" x14ac:dyDescent="0.35">
      <c r="A337">
        <f>YEAR(B337)</f>
        <v>2019</v>
      </c>
      <c r="B337" s="12">
        <f>DATE(YEAR(G337),MONTH(G337),DAY(1))</f>
        <v>43617</v>
      </c>
      <c r="C337">
        <f>IF(E337&lt;&gt;E336,C336+1,C336)</f>
        <v>34</v>
      </c>
      <c r="D337" s="6" t="s">
        <v>328</v>
      </c>
      <c r="E337" s="6" t="s">
        <v>152</v>
      </c>
      <c r="F337" s="6" t="s">
        <v>346</v>
      </c>
      <c r="G337" s="1">
        <v>43643</v>
      </c>
      <c r="H337" s="1">
        <v>45500</v>
      </c>
      <c r="I337" s="7">
        <f>IF(H337-G337&gt;(365*5),1,0)</f>
        <v>1</v>
      </c>
      <c r="J337" s="6">
        <v>0</v>
      </c>
      <c r="K337" s="9" t="str">
        <f>IF($N337="USD",INDEX('Dólar Spot'!$C:$C,MATCH(Base!$G319,'Dólar Spot'!$A:$A,0)),"")</f>
        <v/>
      </c>
      <c r="L337" s="8">
        <v>166450000</v>
      </c>
      <c r="M337" s="7">
        <f>IF(N337="USD",L337*K337/1000000,L337/1000000)</f>
        <v>166.45</v>
      </c>
      <c r="N337" s="6" t="s">
        <v>348</v>
      </c>
      <c r="O337" s="9" t="str" cm="1">
        <f t="array" ref="O337">INDEX(Ratings!$B$2:$L$42,_xlfn.XMATCH(Base!E319,Ratings!$A$2:$A$42),_xlfn.XMATCH(YEAR(Base!G319),Ratings!$B$1:$L$1))</f>
        <v>NR</v>
      </c>
      <c r="P337">
        <f>IF(AND(O337&lt;&gt;"BBB-",O337&lt;&gt;"BBB",O337&lt;&gt;"BBB+"),0,1)</f>
        <v>0</v>
      </c>
      <c r="Q337" s="7">
        <f>INDEX('Bonds ANBIMA'!$F:$F,MATCH(Base!$B319,'Bonds ANBIMA'!$A:$A,0))</f>
        <v>0</v>
      </c>
      <c r="R337" s="21">
        <f>INDEX('Bonds ANBIMA'!$H:$H,MATCH(Base!$B319,'Bonds ANBIMA'!$A:$A,0))</f>
        <v>0.76923076923076916</v>
      </c>
      <c r="S337" s="7">
        <f>INDEX('Debêntures ANBIMA'!$O:$O,MATCH(Base!$B319,'Debêntures ANBIMA'!$A:$A,0))</f>
        <v>400.59090909090907</v>
      </c>
      <c r="T337" s="24">
        <f>INDEX('Debêntures ANBIMA'!$P:$P,MATCH(Base!$B319,'Debêntures ANBIMA'!$A:$A,0))</f>
        <v>0.62046364051464531</v>
      </c>
    </row>
    <row r="338" spans="1:20" x14ac:dyDescent="0.35">
      <c r="A338">
        <f>YEAR(B338)</f>
        <v>2020</v>
      </c>
      <c r="B338" s="12">
        <f>DATE(YEAR(G338),MONTH(G338),DAY(1))</f>
        <v>44105</v>
      </c>
      <c r="C338">
        <f>IF(E338&lt;&gt;E337,C337+1,C337)</f>
        <v>34</v>
      </c>
      <c r="D338" s="6" t="s">
        <v>328</v>
      </c>
      <c r="E338" s="6" t="s">
        <v>152</v>
      </c>
      <c r="F338" s="6" t="s">
        <v>346</v>
      </c>
      <c r="G338" s="1">
        <v>44119</v>
      </c>
      <c r="H338" s="1">
        <v>45945</v>
      </c>
      <c r="I338" s="7">
        <f>IF(H338-G338&gt;(365*5),1,0)</f>
        <v>1</v>
      </c>
      <c r="J338" s="6">
        <v>0</v>
      </c>
      <c r="K338" s="9" t="str">
        <f>IF($N338="USD",INDEX('Dólar Spot'!$C:$C,MATCH(Base!$G320,'Dólar Spot'!$A:$A,0)),"")</f>
        <v/>
      </c>
      <c r="L338" s="8">
        <v>350000000</v>
      </c>
      <c r="M338" s="7">
        <f>IF(N338="USD",L338*K338/1000000,L338/1000000)</f>
        <v>350</v>
      </c>
      <c r="N338" s="6" t="s">
        <v>348</v>
      </c>
      <c r="O338" s="9" t="str" cm="1">
        <f t="array" ref="O338">INDEX(Ratings!$B$2:$L$42,_xlfn.XMATCH(Base!E320,Ratings!$A$2:$A$42),_xlfn.XMATCH(YEAR(Base!G320),Ratings!$B$1:$L$1))</f>
        <v>NR</v>
      </c>
      <c r="P338">
        <f>IF(AND(O338&lt;&gt;"BBB-",O338&lt;&gt;"BBB",O338&lt;&gt;"BBB+"),0,1)</f>
        <v>0</v>
      </c>
      <c r="Q338" s="7">
        <f>INDEX('Bonds ANBIMA'!$F:$F,MATCH(Base!$B320,'Bonds ANBIMA'!$A:$A,0))</f>
        <v>1878.9022727272729</v>
      </c>
      <c r="R338" s="21">
        <f>INDEX('Bonds ANBIMA'!$H:$H,MATCH(Base!$B320,'Bonds ANBIMA'!$A:$A,0))</f>
        <v>0.76190476190476186</v>
      </c>
      <c r="S338" s="7">
        <f>INDEX('Debêntures ANBIMA'!$O:$O,MATCH(Base!$B320,'Debêntures ANBIMA'!$A:$A,0))</f>
        <v>209.83</v>
      </c>
      <c r="T338" s="24">
        <f>INDEX('Debêntures ANBIMA'!$P:$P,MATCH(Base!$B320,'Debêntures ANBIMA'!$A:$A,0))</f>
        <v>0.84594032589608081</v>
      </c>
    </row>
    <row r="339" spans="1:20" x14ac:dyDescent="0.35">
      <c r="A339">
        <f>YEAR(B339)</f>
        <v>2021</v>
      </c>
      <c r="B339" s="12">
        <f>DATE(YEAR(G339),MONTH(G339),DAY(1))</f>
        <v>44440</v>
      </c>
      <c r="C339">
        <f>IF(E339&lt;&gt;E338,C338+1,C338)</f>
        <v>34</v>
      </c>
      <c r="D339" s="6" t="s">
        <v>328</v>
      </c>
      <c r="E339" s="6" t="s">
        <v>152</v>
      </c>
      <c r="F339" s="6" t="s">
        <v>346</v>
      </c>
      <c r="G339" s="1">
        <v>44454</v>
      </c>
      <c r="H339" s="1">
        <v>47376</v>
      </c>
      <c r="I339" s="7">
        <f>IF(H339-G339&gt;(365*5),1,0)</f>
        <v>1</v>
      </c>
      <c r="J339" s="6">
        <v>1</v>
      </c>
      <c r="K339" s="9" t="str">
        <f>IF($N339="USD",INDEX('Dólar Spot'!$C:$C,MATCH(Base!$G321,'Dólar Spot'!$A:$A,0)),"")</f>
        <v/>
      </c>
      <c r="L339" s="8">
        <v>250000000</v>
      </c>
      <c r="M339" s="7">
        <f>IF(N339="USD",L339*K339/1000000,L339/1000000)</f>
        <v>250</v>
      </c>
      <c r="N339" s="6" t="s">
        <v>348</v>
      </c>
      <c r="O339" s="9" t="str" cm="1">
        <f t="array" ref="O339">INDEX(Ratings!$B$2:$L$42,_xlfn.XMATCH(Base!E321,Ratings!$A$2:$A$42),_xlfn.XMATCH(YEAR(Base!G321),Ratings!$B$1:$L$1))</f>
        <v>NR</v>
      </c>
      <c r="P339">
        <f>IF(AND(O339&lt;&gt;"BBB-",O339&lt;&gt;"BBB",O339&lt;&gt;"BBB+"),0,1)</f>
        <v>0</v>
      </c>
      <c r="Q339" s="7">
        <f>INDEX('Bonds ANBIMA'!$F:$F,MATCH(Base!$B321,'Bonds ANBIMA'!$A:$A,0))</f>
        <v>2154.1763596491228</v>
      </c>
      <c r="R339" s="21">
        <f>INDEX('Bonds ANBIMA'!$H:$H,MATCH(Base!$B321,'Bonds ANBIMA'!$A:$A,0))</f>
        <v>0.8125</v>
      </c>
      <c r="S339" s="7">
        <f>INDEX('Debêntures ANBIMA'!$O:$O,MATCH(Base!$B321,'Debêntures ANBIMA'!$A:$A,0))</f>
        <v>599.62275384615384</v>
      </c>
      <c r="T339" s="24">
        <f>INDEX('Debêntures ANBIMA'!$P:$P,MATCH(Base!$B321,'Debêntures ANBIMA'!$A:$A,0))</f>
        <v>0.7802031687198594</v>
      </c>
    </row>
    <row r="340" spans="1:20" x14ac:dyDescent="0.35">
      <c r="A340">
        <f>YEAR(B340)</f>
        <v>2018</v>
      </c>
      <c r="B340" s="12">
        <f>DATE(YEAR(G340),MONTH(G340),DAY(1))</f>
        <v>43252</v>
      </c>
      <c r="C340">
        <f>IF(E340&lt;&gt;E339,C339+1,C339)</f>
        <v>34</v>
      </c>
      <c r="D340" s="6" t="s">
        <v>328</v>
      </c>
      <c r="E340" s="6" t="s">
        <v>152</v>
      </c>
      <c r="F340" s="6" t="s">
        <v>346</v>
      </c>
      <c r="G340" s="1">
        <v>43258</v>
      </c>
      <c r="H340" s="1">
        <v>45084</v>
      </c>
      <c r="I340" s="7">
        <f>IF(H340-G340&gt;(365*5),1,0)</f>
        <v>1</v>
      </c>
      <c r="J340" s="6">
        <v>0</v>
      </c>
      <c r="K340" s="9" t="str">
        <f>IF($N340="USD",INDEX('Dólar Spot'!$C:$C,MATCH(Base!$G322,'Dólar Spot'!$A:$A,0)),"")</f>
        <v/>
      </c>
      <c r="L340" s="8">
        <v>130250000</v>
      </c>
      <c r="M340" s="7">
        <f>IF(N340="USD",L340*K340/1000000,L340/1000000)</f>
        <v>130.25</v>
      </c>
      <c r="N340" s="6" t="s">
        <v>348</v>
      </c>
      <c r="O340" s="9" t="str" cm="1">
        <f t="array" ref="O340">INDEX(Ratings!$B$2:$L$42,_xlfn.XMATCH(Base!E322,Ratings!$A$2:$A$42),_xlfn.XMATCH(YEAR(Base!G322),Ratings!$B$1:$L$1))</f>
        <v>NR</v>
      </c>
      <c r="P340">
        <f>IF(AND(O340&lt;&gt;"BBB-",O340&lt;&gt;"BBB",O340&lt;&gt;"BBB+"),0,1)</f>
        <v>0</v>
      </c>
      <c r="Q340" s="7">
        <f>INDEX('Bonds ANBIMA'!$F:$F,MATCH(Base!$B322,'Bonds ANBIMA'!$A:$A,0))</f>
        <v>0</v>
      </c>
      <c r="R340" s="21">
        <f>INDEX('Bonds ANBIMA'!$H:$H,MATCH(Base!$B322,'Bonds ANBIMA'!$A:$A,0))</f>
        <v>0.69230769230769229</v>
      </c>
      <c r="S340" s="7">
        <f>INDEX('Debêntures ANBIMA'!$O:$O,MATCH(Base!$B322,'Debêntures ANBIMA'!$A:$A,0))</f>
        <v>388.82487878787879</v>
      </c>
      <c r="T340" s="24">
        <f>INDEX('Debêntures ANBIMA'!$P:$P,MATCH(Base!$B322,'Debêntures ANBIMA'!$A:$A,0))</f>
        <v>0.42853613627928244</v>
      </c>
    </row>
    <row r="341" spans="1:20" x14ac:dyDescent="0.35">
      <c r="A341">
        <f>YEAR(B341)</f>
        <v>2018</v>
      </c>
      <c r="B341" s="12">
        <f>DATE(YEAR(G341),MONTH(G341),DAY(1))</f>
        <v>43435</v>
      </c>
      <c r="C341">
        <f>IF(E341&lt;&gt;E340,C340+1,C340)</f>
        <v>34</v>
      </c>
      <c r="D341" s="6" t="s">
        <v>328</v>
      </c>
      <c r="E341" s="6" t="s">
        <v>152</v>
      </c>
      <c r="F341" s="6" t="s">
        <v>346</v>
      </c>
      <c r="G341" s="1">
        <v>43441</v>
      </c>
      <c r="H341" s="1">
        <v>45450</v>
      </c>
      <c r="I341" s="7">
        <f>IF(H341-G341&gt;(365*5),1,0)</f>
        <v>1</v>
      </c>
      <c r="J341" s="6">
        <v>0</v>
      </c>
      <c r="K341" s="9" t="str">
        <f>IF($N341="USD",INDEX('Dólar Spot'!$C:$C,MATCH(Base!$G323,'Dólar Spot'!$A:$A,0)),"")</f>
        <v/>
      </c>
      <c r="L341" s="8">
        <v>247410000</v>
      </c>
      <c r="M341" s="7">
        <f>IF(N341="USD",L341*K341/1000000,L341/1000000)</f>
        <v>247.41</v>
      </c>
      <c r="N341" s="6" t="s">
        <v>348</v>
      </c>
      <c r="O341" s="9" t="str" cm="1">
        <f t="array" ref="O341">INDEX(Ratings!$B$2:$L$42,_xlfn.XMATCH(Base!E323,Ratings!$A$2:$A$42),_xlfn.XMATCH(YEAR(Base!G323),Ratings!$B$1:$L$1))</f>
        <v>NR</v>
      </c>
      <c r="P341">
        <f>IF(AND(O341&lt;&gt;"BBB-",O341&lt;&gt;"BBB",O341&lt;&gt;"BBB+"),0,1)</f>
        <v>0</v>
      </c>
      <c r="Q341" s="7">
        <f>INDEX('Bonds ANBIMA'!$F:$F,MATCH(Base!$B323,'Bonds ANBIMA'!$A:$A,0))</f>
        <v>2347.4684999999999</v>
      </c>
      <c r="R341" s="21">
        <f>INDEX('Bonds ANBIMA'!$H:$H,MATCH(Base!$B323,'Bonds ANBIMA'!$A:$A,0))</f>
        <v>0.72727272727272729</v>
      </c>
      <c r="S341" s="7">
        <f>INDEX('Debêntures ANBIMA'!$O:$O,MATCH(Base!$B323,'Debêntures ANBIMA'!$A:$A,0))</f>
        <v>422.12423076923073</v>
      </c>
      <c r="T341" s="24">
        <f>INDEX('Debêntures ANBIMA'!$P:$P,MATCH(Base!$B323,'Debêntures ANBIMA'!$A:$A,0))</f>
        <v>0.74161267158767152</v>
      </c>
    </row>
    <row r="342" spans="1:20" x14ac:dyDescent="0.35">
      <c r="A342">
        <f>YEAR(B342)</f>
        <v>2019</v>
      </c>
      <c r="B342" s="12">
        <f>DATE(YEAR(G342),MONTH(G342),DAY(1))</f>
        <v>43617</v>
      </c>
      <c r="C342">
        <f>IF(E342&lt;&gt;E341,C341+1,C341)</f>
        <v>34</v>
      </c>
      <c r="D342" s="6" t="s">
        <v>328</v>
      </c>
      <c r="E342" s="6" t="s">
        <v>152</v>
      </c>
      <c r="F342" s="6" t="s">
        <v>346</v>
      </c>
      <c r="G342" s="1">
        <v>43643</v>
      </c>
      <c r="H342" s="1">
        <v>46595</v>
      </c>
      <c r="I342" s="7">
        <f>IF(H342-G342&gt;(365*5),1,0)</f>
        <v>1</v>
      </c>
      <c r="J342" s="6">
        <v>0</v>
      </c>
      <c r="K342" s="9" t="str">
        <f>IF($N342="USD",INDEX('Dólar Spot'!$C:$C,MATCH(Base!$G324,'Dólar Spot'!$A:$A,0)),"")</f>
        <v/>
      </c>
      <c r="L342" s="8">
        <v>283550000</v>
      </c>
      <c r="M342" s="7">
        <f>IF(N342="USD",L342*K342/1000000,L342/1000000)</f>
        <v>283.55</v>
      </c>
      <c r="N342" s="6" t="s">
        <v>348</v>
      </c>
      <c r="O342" s="9" t="str" cm="1">
        <f t="array" ref="O342">INDEX(Ratings!$B$2:$L$42,_xlfn.XMATCH(Base!E324,Ratings!$A$2:$A$42),_xlfn.XMATCH(YEAR(Base!G324),Ratings!$B$1:$L$1))</f>
        <v>BB-</v>
      </c>
      <c r="P342">
        <f>IF(AND(O342&lt;&gt;"BBB-",O342&lt;&gt;"BBB",O342&lt;&gt;"BBB+"),0,1)</f>
        <v>0</v>
      </c>
      <c r="Q342" s="7">
        <f>INDEX('Bonds ANBIMA'!$F:$F,MATCH(Base!$B324,'Bonds ANBIMA'!$A:$A,0))</f>
        <v>0</v>
      </c>
      <c r="R342" s="21">
        <f>INDEX('Bonds ANBIMA'!$H:$H,MATCH(Base!$B324,'Bonds ANBIMA'!$A:$A,0))</f>
        <v>0.83333333333333337</v>
      </c>
      <c r="S342" s="7">
        <f>INDEX('Debêntures ANBIMA'!$O:$O,MATCH(Base!$B324,'Debêntures ANBIMA'!$A:$A,0))</f>
        <v>416.84068888888891</v>
      </c>
      <c r="T342" s="24">
        <f>INDEX('Debêntures ANBIMA'!$P:$P,MATCH(Base!$B324,'Debêntures ANBIMA'!$A:$A,0))</f>
        <v>0.8175482670039157</v>
      </c>
    </row>
    <row r="343" spans="1:20" x14ac:dyDescent="0.35">
      <c r="A343">
        <f>YEAR(B343)</f>
        <v>2021</v>
      </c>
      <c r="B343" s="12">
        <f>DATE(YEAR(G343),MONTH(G343),DAY(1))</f>
        <v>44440</v>
      </c>
      <c r="C343">
        <f>IF(E343&lt;&gt;E342,C342+1,C342)</f>
        <v>34</v>
      </c>
      <c r="D343" s="6" t="s">
        <v>328</v>
      </c>
      <c r="E343" s="6" t="s">
        <v>152</v>
      </c>
      <c r="F343" s="6" t="s">
        <v>346</v>
      </c>
      <c r="G343" s="1">
        <v>44454</v>
      </c>
      <c r="H343" s="1">
        <v>48106</v>
      </c>
      <c r="I343" s="7">
        <f>IF(H343-G343&gt;(365*5),1,0)</f>
        <v>1</v>
      </c>
      <c r="J343" s="6">
        <v>1</v>
      </c>
      <c r="K343" s="9" t="str">
        <f>IF($N343="USD",INDEX('Dólar Spot'!$C:$C,MATCH(Base!$G325,'Dólar Spot'!$A:$A,0)),"")</f>
        <v/>
      </c>
      <c r="L343" s="8">
        <v>350000000</v>
      </c>
      <c r="M343" s="7">
        <f>IF(N343="USD",L343*K343/1000000,L343/1000000)</f>
        <v>350</v>
      </c>
      <c r="N343" s="6" t="s">
        <v>347</v>
      </c>
      <c r="O343" s="9" t="str" cm="1">
        <f t="array" ref="O343">INDEX(Ratings!$B$2:$L$42,_xlfn.XMATCH(Base!E325,Ratings!$A$2:$A$42),_xlfn.XMATCH(YEAR(Base!G325),Ratings!$B$1:$L$1))</f>
        <v>BB-</v>
      </c>
      <c r="P343">
        <f>IF(AND(O343&lt;&gt;"BBB-",O343&lt;&gt;"BBB",O343&lt;&gt;"BBB+"),0,1)</f>
        <v>0</v>
      </c>
      <c r="Q343" s="7">
        <f>INDEX('Bonds ANBIMA'!$F:$F,MATCH(Base!$B325,'Bonds ANBIMA'!$A:$A,0))</f>
        <v>5556.26</v>
      </c>
      <c r="R343" s="21">
        <f>INDEX('Bonds ANBIMA'!$H:$H,MATCH(Base!$B325,'Bonds ANBIMA'!$A:$A,0))</f>
        <v>0.70588235294117641</v>
      </c>
      <c r="S343" s="7">
        <f>INDEX('Debêntures ANBIMA'!$O:$O,MATCH(Base!$B325,'Debêntures ANBIMA'!$A:$A,0))</f>
        <v>391.99888524590165</v>
      </c>
      <c r="T343" s="24">
        <f>INDEX('Debêntures ANBIMA'!$P:$P,MATCH(Base!$B325,'Debêntures ANBIMA'!$A:$A,0))</f>
        <v>0.88573327238540056</v>
      </c>
    </row>
    <row r="344" spans="1:20" x14ac:dyDescent="0.35">
      <c r="A344">
        <f>YEAR(B344)</f>
        <v>2014</v>
      </c>
      <c r="B344" s="12">
        <f>DATE(YEAR(G344),MONTH(G344),DAY(1))</f>
        <v>41671</v>
      </c>
      <c r="C344">
        <f>IF(E344&lt;&gt;E343,C343+1,C343)</f>
        <v>35</v>
      </c>
      <c r="D344" s="6" t="s">
        <v>329</v>
      </c>
      <c r="E344" s="6" t="s">
        <v>154</v>
      </c>
      <c r="F344" s="6" t="s">
        <v>346</v>
      </c>
      <c r="G344" s="1">
        <v>41695</v>
      </c>
      <c r="H344" s="1">
        <v>42791</v>
      </c>
      <c r="I344" s="7">
        <f>IF(H344-G344&gt;(365*5),1,0)</f>
        <v>0</v>
      </c>
      <c r="J344" s="22">
        <v>1</v>
      </c>
      <c r="K344" s="9" t="str">
        <f>IF($N344="USD",INDEX('Dólar Spot'!$C:$C,MATCH(Base!$G328,'Dólar Spot'!$A:$A,0)),"")</f>
        <v/>
      </c>
      <c r="L344" s="8">
        <v>200000000</v>
      </c>
      <c r="M344" s="7">
        <f>IF(N344="USD",L344*K344/1000000,L344/1000000)</f>
        <v>200</v>
      </c>
      <c r="N344" s="6" t="s">
        <v>348</v>
      </c>
      <c r="O344" s="9" t="str" cm="1">
        <f t="array" ref="O344">INDEX(Ratings!$B$2:$L$42,_xlfn.XMATCH(Base!E328,Ratings!$A$2:$A$42),_xlfn.XMATCH(YEAR(Base!G328),Ratings!$B$1:$L$1))</f>
        <v>NR</v>
      </c>
      <c r="P344">
        <f>IF(AND(O344&lt;&gt;"BBB-",O344&lt;&gt;"BBB",O344&lt;&gt;"BBB+"),0,1)</f>
        <v>0</v>
      </c>
      <c r="Q344" s="7">
        <f>INDEX('Bonds ANBIMA'!$F:$F,MATCH(Base!$B328,'Bonds ANBIMA'!$A:$A,0))</f>
        <v>0</v>
      </c>
      <c r="R344" s="21">
        <f>INDEX('Bonds ANBIMA'!$H:$H,MATCH(Base!$B328,'Bonds ANBIMA'!$A:$A,0))</f>
        <v>0.72222222222222221</v>
      </c>
      <c r="S344" s="7">
        <f>INDEX('Debêntures ANBIMA'!$O:$O,MATCH(Base!$B328,'Debêntures ANBIMA'!$A:$A,0))</f>
        <v>320.93409090909091</v>
      </c>
      <c r="T344" s="24">
        <f>INDEX('Debêntures ANBIMA'!$P:$P,MATCH(Base!$B328,'Debêntures ANBIMA'!$A:$A,0))</f>
        <v>0.78028231454019203</v>
      </c>
    </row>
    <row r="345" spans="1:20" x14ac:dyDescent="0.35">
      <c r="A345">
        <f>YEAR(B345)</f>
        <v>2015</v>
      </c>
      <c r="B345" s="12">
        <f>DATE(YEAR(G345),MONTH(G345),DAY(1))</f>
        <v>42064</v>
      </c>
      <c r="C345">
        <f>IF(E345&lt;&gt;E344,C344+1,C344)</f>
        <v>35</v>
      </c>
      <c r="D345" s="6" t="s">
        <v>329</v>
      </c>
      <c r="E345" s="6" t="s">
        <v>154</v>
      </c>
      <c r="F345" s="6" t="s">
        <v>346</v>
      </c>
      <c r="G345" s="1">
        <v>42079</v>
      </c>
      <c r="H345" s="1">
        <v>43175</v>
      </c>
      <c r="I345" s="7">
        <f>IF(H345-G345&gt;(365*5),1,0)</f>
        <v>0</v>
      </c>
      <c r="J345" s="22">
        <v>1</v>
      </c>
      <c r="K345" s="9" t="str">
        <f>IF($N345="USD",INDEX('Dólar Spot'!$C:$C,MATCH(Base!$G329,'Dólar Spot'!$A:$A,0)),"")</f>
        <v/>
      </c>
      <c r="L345" s="8">
        <v>400000000</v>
      </c>
      <c r="M345" s="7">
        <f>IF(N345="USD",L345*K345/1000000,L345/1000000)</f>
        <v>400</v>
      </c>
      <c r="N345" s="6" t="s">
        <v>348</v>
      </c>
      <c r="O345" s="9" t="str" cm="1">
        <f t="array" ref="O345">INDEX(Ratings!$B$2:$L$42,_xlfn.XMATCH(Base!E329,Ratings!$A$2:$A$42),_xlfn.XMATCH(YEAR(Base!G329),Ratings!$B$1:$L$1))</f>
        <v>NR</v>
      </c>
      <c r="P345">
        <f>IF(AND(O345&lt;&gt;"BBB-",O345&lt;&gt;"BBB",O345&lt;&gt;"BBB+"),0,1)</f>
        <v>0</v>
      </c>
      <c r="Q345" s="7">
        <f>INDEX('Bonds ANBIMA'!$F:$F,MATCH(Base!$B329,'Bonds ANBIMA'!$A:$A,0))</f>
        <v>0</v>
      </c>
      <c r="R345" s="21">
        <f>INDEX('Bonds ANBIMA'!$H:$H,MATCH(Base!$B329,'Bonds ANBIMA'!$A:$A,0))</f>
        <v>0.77272727272727271</v>
      </c>
      <c r="S345" s="7">
        <f>INDEX('Debêntures ANBIMA'!$O:$O,MATCH(Base!$B329,'Debêntures ANBIMA'!$A:$A,0))</f>
        <v>269.61020408163267</v>
      </c>
      <c r="T345" s="24">
        <f>INDEX('Debêntures ANBIMA'!$P:$P,MATCH(Base!$B329,'Debêntures ANBIMA'!$A:$A,0))</f>
        <v>0.83474381293078714</v>
      </c>
    </row>
    <row r="346" spans="1:20" x14ac:dyDescent="0.35">
      <c r="A346">
        <f>YEAR(B346)</f>
        <v>2017</v>
      </c>
      <c r="B346" s="12">
        <f>DATE(YEAR(G346),MONTH(G346),DAY(1))</f>
        <v>42979</v>
      </c>
      <c r="C346">
        <f>IF(E346&lt;&gt;E345,C345+1,C345)</f>
        <v>35</v>
      </c>
      <c r="D346" s="6" t="s">
        <v>329</v>
      </c>
      <c r="E346" s="6" t="s">
        <v>154</v>
      </c>
      <c r="F346" s="6" t="s">
        <v>346</v>
      </c>
      <c r="G346" s="1">
        <v>43003</v>
      </c>
      <c r="H346" s="1">
        <v>44099</v>
      </c>
      <c r="I346" s="7">
        <f>IF(H346-G346&gt;(365*5),1,0)</f>
        <v>0</v>
      </c>
      <c r="J346" s="22">
        <v>1</v>
      </c>
      <c r="K346" s="9" t="str">
        <f>IF($N346="USD",INDEX('Dólar Spot'!$C:$C,MATCH(Base!$G330,'Dólar Spot'!$A:$A,0)),"")</f>
        <v/>
      </c>
      <c r="L346" s="8">
        <v>772730000</v>
      </c>
      <c r="M346" s="7">
        <f>IF(N346="USD",L346*K346/1000000,L346/1000000)</f>
        <v>772.73</v>
      </c>
      <c r="N346" s="6" t="s">
        <v>348</v>
      </c>
      <c r="O346" s="9" t="str" cm="1">
        <f t="array" ref="O346">INDEX(Ratings!$B$2:$L$42,_xlfn.XMATCH(Base!E330,Ratings!$A$2:$A$42),_xlfn.XMATCH(YEAR(Base!G330),Ratings!$B$1:$L$1))</f>
        <v>NR</v>
      </c>
      <c r="P346">
        <f>IF(AND(O346&lt;&gt;"BBB-",O346&lt;&gt;"BBB",O346&lt;&gt;"BBB+"),0,1)</f>
        <v>0</v>
      </c>
      <c r="Q346" s="7">
        <f>INDEX('Bonds ANBIMA'!$F:$F,MATCH(Base!$B330,'Bonds ANBIMA'!$A:$A,0))</f>
        <v>2154.1763596491228</v>
      </c>
      <c r="R346" s="21">
        <f>INDEX('Bonds ANBIMA'!$H:$H,MATCH(Base!$B330,'Bonds ANBIMA'!$A:$A,0))</f>
        <v>0.8125</v>
      </c>
      <c r="S346" s="7">
        <f>INDEX('Debêntures ANBIMA'!$O:$O,MATCH(Base!$B330,'Debêntures ANBIMA'!$A:$A,0))</f>
        <v>599.62275384615384</v>
      </c>
      <c r="T346" s="24">
        <f>INDEX('Debêntures ANBIMA'!$P:$P,MATCH(Base!$B330,'Debêntures ANBIMA'!$A:$A,0))</f>
        <v>0.7802031687198594</v>
      </c>
    </row>
    <row r="347" spans="1:20" x14ac:dyDescent="0.35">
      <c r="A347">
        <f>YEAR(B347)</f>
        <v>2018</v>
      </c>
      <c r="B347" s="12">
        <f>DATE(YEAR(G347),MONTH(G347),DAY(1))</f>
        <v>43132</v>
      </c>
      <c r="C347">
        <f>IF(E347&lt;&gt;E346,C346+1,C346)</f>
        <v>35</v>
      </c>
      <c r="D347" s="6" t="s">
        <v>329</v>
      </c>
      <c r="E347" s="6" t="s">
        <v>154</v>
      </c>
      <c r="F347" s="6" t="s">
        <v>346</v>
      </c>
      <c r="G347" s="1">
        <v>43145</v>
      </c>
      <c r="H347" s="1">
        <v>43691</v>
      </c>
      <c r="I347" s="7">
        <f>IF(H347-G347&gt;(365*5),1,0)</f>
        <v>0</v>
      </c>
      <c r="J347" s="22">
        <v>1</v>
      </c>
      <c r="K347" s="9" t="str">
        <f>IF($N347="USD",INDEX('Dólar Spot'!$C:$C,MATCH(Base!$G331,'Dólar Spot'!$A:$A,0)),"")</f>
        <v/>
      </c>
      <c r="L347" s="8">
        <v>1400000000</v>
      </c>
      <c r="M347" s="7">
        <f>IF(N347="USD",L347*K347/1000000,L347/1000000)</f>
        <v>1400</v>
      </c>
      <c r="N347" s="6" t="s">
        <v>348</v>
      </c>
      <c r="O347" s="9" t="str" cm="1">
        <f t="array" ref="O347">INDEX(Ratings!$B$2:$L$42,_xlfn.XMATCH(Base!E331,Ratings!$A$2:$A$42),_xlfn.XMATCH(YEAR(Base!G331),Ratings!$B$1:$L$1))</f>
        <v>NR</v>
      </c>
      <c r="P347">
        <f>IF(AND(O347&lt;&gt;"BBB-",O347&lt;&gt;"BBB",O347&lt;&gt;"BBB+"),0,1)</f>
        <v>0</v>
      </c>
      <c r="Q347" s="7">
        <f>INDEX('Bonds ANBIMA'!$F:$F,MATCH(Base!$B331,'Bonds ANBIMA'!$A:$A,0))</f>
        <v>4218.8928571428578</v>
      </c>
      <c r="R347" s="21">
        <f>INDEX('Bonds ANBIMA'!$H:$H,MATCH(Base!$B331,'Bonds ANBIMA'!$A:$A,0))</f>
        <v>0.72413793103448276</v>
      </c>
      <c r="S347" s="7">
        <f>INDEX('Debêntures ANBIMA'!$O:$O,MATCH(Base!$B331,'Debêntures ANBIMA'!$A:$A,0))</f>
        <v>208.1991166734694</v>
      </c>
      <c r="T347" s="24">
        <f>INDEX('Debêntures ANBIMA'!$P:$P,MATCH(Base!$B331,'Debêntures ANBIMA'!$A:$A,0))</f>
        <v>0.70629373590015865</v>
      </c>
    </row>
    <row r="348" spans="1:20" x14ac:dyDescent="0.35">
      <c r="A348">
        <f>YEAR(B348)</f>
        <v>2018</v>
      </c>
      <c r="B348" s="12">
        <f>DATE(YEAR(G348),MONTH(G348),DAY(1))</f>
        <v>43344</v>
      </c>
      <c r="C348">
        <f>IF(E348&lt;&gt;E347,C347+1,C347)</f>
        <v>35</v>
      </c>
      <c r="D348" s="6" t="s">
        <v>329</v>
      </c>
      <c r="E348" s="6" t="s">
        <v>154</v>
      </c>
      <c r="F348" s="6" t="s">
        <v>346</v>
      </c>
      <c r="G348" s="1">
        <v>43364</v>
      </c>
      <c r="H348" s="1">
        <v>44095</v>
      </c>
      <c r="I348" s="7">
        <f>IF(H348-G348&gt;(365*5),1,0)</f>
        <v>0</v>
      </c>
      <c r="J348" s="22">
        <v>1</v>
      </c>
      <c r="K348" s="9" t="str">
        <f>IF($N348="USD",INDEX('Dólar Spot'!$C:$C,MATCH(Base!$G332,'Dólar Spot'!$A:$A,0)),"")</f>
        <v/>
      </c>
      <c r="L348" s="8">
        <v>389040000</v>
      </c>
      <c r="M348" s="7">
        <f>IF(N348="USD",L348*K348/1000000,L348/1000000)</f>
        <v>389.04</v>
      </c>
      <c r="N348" s="6" t="s">
        <v>348</v>
      </c>
      <c r="O348" s="9" t="str" cm="1">
        <f t="array" ref="O348">INDEX(Ratings!$B$2:$L$42,_xlfn.XMATCH(Base!E332,Ratings!$A$2:$A$42),_xlfn.XMATCH(YEAR(Base!G332),Ratings!$B$1:$L$1))</f>
        <v>BB-</v>
      </c>
      <c r="P348">
        <f>IF(AND(O348&lt;&gt;"BBB-",O348&lt;&gt;"BBB",O348&lt;&gt;"BBB+"),0,1)</f>
        <v>0</v>
      </c>
      <c r="Q348" s="7">
        <f>INDEX('Bonds ANBIMA'!$F:$F,MATCH(Base!$B332,'Bonds ANBIMA'!$A:$A,0))</f>
        <v>0</v>
      </c>
      <c r="R348" s="21">
        <f>INDEX('Bonds ANBIMA'!$H:$H,MATCH(Base!$B332,'Bonds ANBIMA'!$A:$A,0))</f>
        <v>0.83333333333333337</v>
      </c>
      <c r="S348" s="7">
        <f>INDEX('Debêntures ANBIMA'!$O:$O,MATCH(Base!$B332,'Debêntures ANBIMA'!$A:$A,0))</f>
        <v>416.84068888888891</v>
      </c>
      <c r="T348" s="24">
        <f>INDEX('Debêntures ANBIMA'!$P:$P,MATCH(Base!$B332,'Debêntures ANBIMA'!$A:$A,0))</f>
        <v>0.8175482670039157</v>
      </c>
    </row>
    <row r="349" spans="1:20" x14ac:dyDescent="0.35">
      <c r="A349">
        <f>YEAR(B349)</f>
        <v>2014</v>
      </c>
      <c r="B349" s="12">
        <f>DATE(YEAR(G349),MONTH(G349),DAY(1))</f>
        <v>41671</v>
      </c>
      <c r="C349">
        <f>IF(E349&lt;&gt;E348,C348+1,C348)</f>
        <v>35</v>
      </c>
      <c r="D349" s="6" t="s">
        <v>329</v>
      </c>
      <c r="E349" s="6" t="s">
        <v>154</v>
      </c>
      <c r="F349" s="6" t="s">
        <v>346</v>
      </c>
      <c r="G349" s="1">
        <v>41695</v>
      </c>
      <c r="H349" s="1">
        <v>43156</v>
      </c>
      <c r="I349" s="7">
        <f>IF(H349-G349&gt;(365*5),1,0)</f>
        <v>0</v>
      </c>
      <c r="J349" s="22">
        <v>1</v>
      </c>
      <c r="K349" s="9" t="str">
        <f>IF($N349="USD",INDEX('Dólar Spot'!$C:$C,MATCH(Base!$G333,'Dólar Spot'!$A:$A,0)),"")</f>
        <v/>
      </c>
      <c r="L349" s="8">
        <v>200000000</v>
      </c>
      <c r="M349" s="7">
        <f>IF(N349="USD",L349*K349/1000000,L349/1000000)</f>
        <v>200</v>
      </c>
      <c r="N349" s="6" t="s">
        <v>348</v>
      </c>
      <c r="O349" s="9" t="str" cm="1">
        <f t="array" ref="O349">INDEX(Ratings!$B$2:$L$42,_xlfn.XMATCH(Base!E333,Ratings!$A$2:$A$42),_xlfn.XMATCH(YEAR(Base!G333),Ratings!$B$1:$L$1))</f>
        <v>BB-</v>
      </c>
      <c r="P349">
        <f>IF(AND(O349&lt;&gt;"BBB-",O349&lt;&gt;"BBB",O349&lt;&gt;"BBB+"),0,1)</f>
        <v>0</v>
      </c>
      <c r="Q349" s="7">
        <f>INDEX('Bonds ANBIMA'!$F:$F,MATCH(Base!$B333,'Bonds ANBIMA'!$A:$A,0))</f>
        <v>2639.5452380952379</v>
      </c>
      <c r="R349" s="21">
        <f>INDEX('Bonds ANBIMA'!$H:$H,MATCH(Base!$B333,'Bonds ANBIMA'!$A:$A,0))</f>
        <v>0.75</v>
      </c>
      <c r="S349" s="7">
        <f>INDEX('Debêntures ANBIMA'!$O:$O,MATCH(Base!$B333,'Debêntures ANBIMA'!$A:$A,0))</f>
        <v>333.94772061764706</v>
      </c>
      <c r="T349" s="24">
        <f>INDEX('Debêntures ANBIMA'!$P:$P,MATCH(Base!$B333,'Debêntures ANBIMA'!$A:$A,0))</f>
        <v>0.70859317355091667</v>
      </c>
    </row>
    <row r="350" spans="1:20" x14ac:dyDescent="0.35">
      <c r="A350">
        <f>YEAR(B350)</f>
        <v>2015</v>
      </c>
      <c r="B350" s="12">
        <f>DATE(YEAR(G350),MONTH(G350),DAY(1))</f>
        <v>42064</v>
      </c>
      <c r="C350">
        <f>IF(E350&lt;&gt;E349,C349+1,C349)</f>
        <v>35</v>
      </c>
      <c r="D350" s="6" t="s">
        <v>329</v>
      </c>
      <c r="E350" s="6" t="s">
        <v>154</v>
      </c>
      <c r="F350" s="6" t="s">
        <v>346</v>
      </c>
      <c r="G350" s="1">
        <v>42079</v>
      </c>
      <c r="H350" s="1">
        <v>43540</v>
      </c>
      <c r="I350" s="7">
        <f>IF(H350-G350&gt;(365*5),1,0)</f>
        <v>0</v>
      </c>
      <c r="J350" s="22">
        <v>1</v>
      </c>
      <c r="K350" s="9" t="str">
        <f>IF($N350="USD",INDEX('Dólar Spot'!$C:$C,MATCH(Base!$G334,'Dólar Spot'!$A:$A,0)),"")</f>
        <v/>
      </c>
      <c r="L350" s="8">
        <v>250000000</v>
      </c>
      <c r="M350" s="7">
        <f>IF(N350="USD",L350*K350/1000000,L350/1000000)</f>
        <v>250</v>
      </c>
      <c r="N350" s="6" t="s">
        <v>348</v>
      </c>
      <c r="O350" s="9" t="str" cm="1">
        <f t="array" ref="O350">INDEX(Ratings!$B$2:$L$42,_xlfn.XMATCH(Base!E334,Ratings!$A$2:$A$42),_xlfn.XMATCH(YEAR(Base!G334),Ratings!$B$1:$L$1))</f>
        <v>NR</v>
      </c>
      <c r="P350">
        <f>IF(AND(O350&lt;&gt;"BBB-",O350&lt;&gt;"BBB",O350&lt;&gt;"BBB+"),0,1)</f>
        <v>0</v>
      </c>
      <c r="Q350" s="7">
        <f>INDEX('Bonds ANBIMA'!$F:$F,MATCH(Base!$B334,'Bonds ANBIMA'!$A:$A,0))</f>
        <v>1041.7998809523808</v>
      </c>
      <c r="R350" s="21">
        <f>INDEX('Bonds ANBIMA'!$H:$H,MATCH(Base!$B334,'Bonds ANBIMA'!$A:$A,0))</f>
        <v>0.88900000000000001</v>
      </c>
      <c r="S350" s="7">
        <f>INDEX('Debêntures ANBIMA'!$O:$O,MATCH(Base!$B334,'Debêntures ANBIMA'!$A:$A,0))</f>
        <v>287.34284210526317</v>
      </c>
      <c r="T350" s="24">
        <f>INDEX('Debêntures ANBIMA'!$P:$P,MATCH(Base!$B334,'Debêntures ANBIMA'!$A:$A,0))</f>
        <v>0.64590629073898931</v>
      </c>
    </row>
    <row r="351" spans="1:20" x14ac:dyDescent="0.35">
      <c r="A351">
        <f>YEAR(B351)</f>
        <v>2017</v>
      </c>
      <c r="B351" s="12">
        <f>DATE(YEAR(G351),MONTH(G351),DAY(1))</f>
        <v>42979</v>
      </c>
      <c r="C351">
        <f>IF(E351&lt;&gt;E350,C350+1,C350)</f>
        <v>35</v>
      </c>
      <c r="D351" s="6" t="s">
        <v>329</v>
      </c>
      <c r="E351" s="6" t="s">
        <v>154</v>
      </c>
      <c r="F351" s="6" t="s">
        <v>346</v>
      </c>
      <c r="G351" s="1">
        <v>43003</v>
      </c>
      <c r="H351" s="1">
        <v>44464</v>
      </c>
      <c r="I351" s="7">
        <f>IF(H351-G351&gt;(365*5),1,0)</f>
        <v>0</v>
      </c>
      <c r="J351" s="22">
        <v>1</v>
      </c>
      <c r="K351" s="9" t="str">
        <f>IF($N351="USD",INDEX('Dólar Spot'!$C:$C,MATCH(Base!$G335,'Dólar Spot'!$A:$A,0)),"")</f>
        <v/>
      </c>
      <c r="L351" s="8">
        <v>1827270000</v>
      </c>
      <c r="M351" s="7">
        <f>IF(N351="USD",L351*K351/1000000,L351/1000000)</f>
        <v>1827.27</v>
      </c>
      <c r="N351" s="6" t="s">
        <v>348</v>
      </c>
      <c r="O351" s="9" t="str" cm="1">
        <f t="array" ref="O351">INDEX(Ratings!$B$2:$L$42,_xlfn.XMATCH(Base!E335,Ratings!$A$2:$A$42),_xlfn.XMATCH(YEAR(Base!G335),Ratings!$B$1:$L$1))</f>
        <v>NR</v>
      </c>
      <c r="P351">
        <f>IF(AND(O351&lt;&gt;"BBB-",O351&lt;&gt;"BBB",O351&lt;&gt;"BBB+"),0,1)</f>
        <v>0</v>
      </c>
      <c r="Q351" s="7">
        <f>INDEX('Bonds ANBIMA'!$F:$F,MATCH(Base!$B335,'Bonds ANBIMA'!$A:$A,0))</f>
        <v>0</v>
      </c>
      <c r="R351" s="21">
        <f>INDEX('Bonds ANBIMA'!$H:$H,MATCH(Base!$B335,'Bonds ANBIMA'!$A:$A,0))</f>
        <v>0.72222222222222221</v>
      </c>
      <c r="S351" s="7">
        <f>INDEX('Debêntures ANBIMA'!$O:$O,MATCH(Base!$B335,'Debêntures ANBIMA'!$A:$A,0))</f>
        <v>320.93409090909091</v>
      </c>
      <c r="T351" s="24">
        <f>INDEX('Debêntures ANBIMA'!$P:$P,MATCH(Base!$B335,'Debêntures ANBIMA'!$A:$A,0))</f>
        <v>0.78028231454019203</v>
      </c>
    </row>
    <row r="352" spans="1:20" x14ac:dyDescent="0.35">
      <c r="A352">
        <f>YEAR(B352)</f>
        <v>2018</v>
      </c>
      <c r="B352" s="12">
        <f>DATE(YEAR(G352),MONTH(G352),DAY(1))</f>
        <v>43344</v>
      </c>
      <c r="C352">
        <f>IF(E352&lt;&gt;E351,C351+1,C351)</f>
        <v>35</v>
      </c>
      <c r="D352" s="6" t="s">
        <v>329</v>
      </c>
      <c r="E352" s="6" t="s">
        <v>154</v>
      </c>
      <c r="F352" s="6" t="s">
        <v>346</v>
      </c>
      <c r="G352" s="1">
        <v>43364</v>
      </c>
      <c r="H352" s="1">
        <v>44460</v>
      </c>
      <c r="I352" s="7">
        <f>IF(H352-G352&gt;(365*5),1,0)</f>
        <v>0</v>
      </c>
      <c r="J352" s="22">
        <v>1</v>
      </c>
      <c r="K352" s="9" t="str">
        <f>IF($N352="USD",INDEX('Dólar Spot'!$C:$C,MATCH(Base!$G336,'Dólar Spot'!$A:$A,0)),"")</f>
        <v/>
      </c>
      <c r="L352" s="8">
        <v>308310000</v>
      </c>
      <c r="M352" s="7">
        <f>IF(N352="USD",L352*K352/1000000,L352/1000000)</f>
        <v>308.31</v>
      </c>
      <c r="N352" s="6" t="s">
        <v>348</v>
      </c>
      <c r="O352" s="9" t="str" cm="1">
        <f t="array" ref="O352">INDEX(Ratings!$B$2:$L$42,_xlfn.XMATCH(Base!E336,Ratings!$A$2:$A$42),_xlfn.XMATCH(YEAR(Base!G336),Ratings!$B$1:$L$1))</f>
        <v>NR</v>
      </c>
      <c r="P352">
        <f>IF(AND(O352&lt;&gt;"BBB-",O352&lt;&gt;"BBB",O352&lt;&gt;"BBB+"),0,1)</f>
        <v>0</v>
      </c>
      <c r="Q352" s="7">
        <f>INDEX('Bonds ANBIMA'!$F:$F,MATCH(Base!$B336,'Bonds ANBIMA'!$A:$A,0))</f>
        <v>0</v>
      </c>
      <c r="R352" s="21">
        <f>INDEX('Bonds ANBIMA'!$H:$H,MATCH(Base!$B336,'Bonds ANBIMA'!$A:$A,0))</f>
        <v>0.77272727272727271</v>
      </c>
      <c r="S352" s="7">
        <f>INDEX('Debêntures ANBIMA'!$O:$O,MATCH(Base!$B336,'Debêntures ANBIMA'!$A:$A,0))</f>
        <v>269.61020408163267</v>
      </c>
      <c r="T352" s="24">
        <f>INDEX('Debêntures ANBIMA'!$P:$P,MATCH(Base!$B336,'Debêntures ANBIMA'!$A:$A,0))</f>
        <v>0.83474381293078714</v>
      </c>
    </row>
    <row r="353" spans="1:20" x14ac:dyDescent="0.35">
      <c r="A353">
        <f>YEAR(B353)</f>
        <v>2014</v>
      </c>
      <c r="B353" s="12">
        <f>DATE(YEAR(G353),MONTH(G353),DAY(1))</f>
        <v>41671</v>
      </c>
      <c r="C353">
        <f>IF(E353&lt;&gt;E352,C352+1,C352)</f>
        <v>35</v>
      </c>
      <c r="D353" s="6" t="s">
        <v>329</v>
      </c>
      <c r="E353" s="6" t="s">
        <v>154</v>
      </c>
      <c r="F353" s="6" t="s">
        <v>346</v>
      </c>
      <c r="G353" s="1">
        <v>41695</v>
      </c>
      <c r="H353" s="1">
        <v>43521</v>
      </c>
      <c r="I353" s="7">
        <f>IF(H353-G353&gt;(365*5),1,0)</f>
        <v>1</v>
      </c>
      <c r="J353" s="22">
        <v>1</v>
      </c>
      <c r="K353" s="9" t="str">
        <f>IF($N353="USD",INDEX('Dólar Spot'!$C:$C,MATCH(Base!$G337,'Dólar Spot'!$A:$A,0)),"")</f>
        <v/>
      </c>
      <c r="L353" s="8">
        <v>200000000</v>
      </c>
      <c r="M353" s="7">
        <f>IF(N353="USD",L353*K353/1000000,L353/1000000)</f>
        <v>200</v>
      </c>
      <c r="N353" s="6" t="s">
        <v>348</v>
      </c>
      <c r="O353" s="9" t="str" cm="1">
        <f t="array" ref="O353">INDEX(Ratings!$B$2:$L$42,_xlfn.XMATCH(Base!E337,Ratings!$A$2:$A$42),_xlfn.XMATCH(YEAR(Base!G337),Ratings!$B$1:$L$1))</f>
        <v>NR</v>
      </c>
      <c r="P353">
        <f>IF(AND(O353&lt;&gt;"BBB-",O353&lt;&gt;"BBB",O353&lt;&gt;"BBB+"),0,1)</f>
        <v>0</v>
      </c>
      <c r="Q353" s="7">
        <f>INDEX('Bonds ANBIMA'!$F:$F,MATCH(Base!$B337,'Bonds ANBIMA'!$A:$A,0))</f>
        <v>2154.1763596491228</v>
      </c>
      <c r="R353" s="21">
        <f>INDEX('Bonds ANBIMA'!$H:$H,MATCH(Base!$B337,'Bonds ANBIMA'!$A:$A,0))</f>
        <v>0.8125</v>
      </c>
      <c r="S353" s="7">
        <f>INDEX('Debêntures ANBIMA'!$O:$O,MATCH(Base!$B337,'Debêntures ANBIMA'!$A:$A,0))</f>
        <v>599.62275384615384</v>
      </c>
      <c r="T353" s="24">
        <f>INDEX('Debêntures ANBIMA'!$P:$P,MATCH(Base!$B337,'Debêntures ANBIMA'!$A:$A,0))</f>
        <v>0.7802031687198594</v>
      </c>
    </row>
    <row r="354" spans="1:20" x14ac:dyDescent="0.35">
      <c r="A354">
        <f>YEAR(B354)</f>
        <v>2015</v>
      </c>
      <c r="B354" s="12">
        <f>DATE(YEAR(G354),MONTH(G354),DAY(1))</f>
        <v>42064</v>
      </c>
      <c r="C354">
        <f>IF(E354&lt;&gt;E353,C353+1,C353)</f>
        <v>35</v>
      </c>
      <c r="D354" s="6" t="s">
        <v>329</v>
      </c>
      <c r="E354" s="6" t="s">
        <v>154</v>
      </c>
      <c r="F354" s="6" t="s">
        <v>346</v>
      </c>
      <c r="G354" s="1">
        <v>42079</v>
      </c>
      <c r="H354" s="1">
        <v>43906</v>
      </c>
      <c r="I354" s="7">
        <f>IF(H354-G354&gt;(365*5),1,0)</f>
        <v>1</v>
      </c>
      <c r="J354" s="22">
        <v>1</v>
      </c>
      <c r="K354" s="9" t="str">
        <f>IF($N354="USD",INDEX('Dólar Spot'!$C:$C,MATCH(Base!$G338,'Dólar Spot'!$A:$A,0)),"")</f>
        <v/>
      </c>
      <c r="L354" s="8">
        <v>150000000</v>
      </c>
      <c r="M354" s="7">
        <f>IF(N354="USD",L354*K354/1000000,L354/1000000)</f>
        <v>150</v>
      </c>
      <c r="N354" s="6" t="s">
        <v>348</v>
      </c>
      <c r="O354" s="9" t="str" cm="1">
        <f t="array" ref="O354">INDEX(Ratings!$B$2:$L$42,_xlfn.XMATCH(Base!E338,Ratings!$A$2:$A$42),_xlfn.XMATCH(YEAR(Base!G338),Ratings!$B$1:$L$1))</f>
        <v>NR</v>
      </c>
      <c r="P354">
        <f>IF(AND(O354&lt;&gt;"BBB-",O354&lt;&gt;"BBB",O354&lt;&gt;"BBB+"),0,1)</f>
        <v>0</v>
      </c>
      <c r="Q354" s="7">
        <f>INDEX('Bonds ANBIMA'!$F:$F,MATCH(Base!$B338,'Bonds ANBIMA'!$A:$A,0))</f>
        <v>4218.8928571428578</v>
      </c>
      <c r="R354" s="21">
        <f>INDEX('Bonds ANBIMA'!$H:$H,MATCH(Base!$B338,'Bonds ANBIMA'!$A:$A,0))</f>
        <v>0.72413793103448276</v>
      </c>
      <c r="S354" s="7">
        <f>INDEX('Debêntures ANBIMA'!$O:$O,MATCH(Base!$B338,'Debêntures ANBIMA'!$A:$A,0))</f>
        <v>208.1991166734694</v>
      </c>
      <c r="T354" s="24">
        <f>INDEX('Debêntures ANBIMA'!$P:$P,MATCH(Base!$B338,'Debêntures ANBIMA'!$A:$A,0))</f>
        <v>0.70629373590015865</v>
      </c>
    </row>
    <row r="355" spans="1:20" x14ac:dyDescent="0.35">
      <c r="A355">
        <f>YEAR(B355)</f>
        <v>2018</v>
      </c>
      <c r="B355" s="12">
        <f>DATE(YEAR(G355),MONTH(G355),DAY(1))</f>
        <v>43344</v>
      </c>
      <c r="C355">
        <f>IF(E355&lt;&gt;E354,C354+1,C354)</f>
        <v>35</v>
      </c>
      <c r="D355" s="6" t="s">
        <v>329</v>
      </c>
      <c r="E355" s="6" t="s">
        <v>154</v>
      </c>
      <c r="F355" s="6" t="s">
        <v>346</v>
      </c>
      <c r="G355" s="1">
        <v>43364</v>
      </c>
      <c r="H355" s="1">
        <v>44825</v>
      </c>
      <c r="I355" s="7">
        <f>IF(H355-G355&gt;(365*5),1,0)</f>
        <v>0</v>
      </c>
      <c r="J355" s="22">
        <v>1</v>
      </c>
      <c r="K355" s="9" t="str">
        <f>IF($N355="USD",INDEX('Dólar Spot'!$C:$C,MATCH(Base!$G339,'Dólar Spot'!$A:$A,0)),"")</f>
        <v/>
      </c>
      <c r="L355" s="8">
        <v>302650000</v>
      </c>
      <c r="M355" s="7">
        <f>IF(N355="USD",L355*K355/1000000,L355/1000000)</f>
        <v>302.64999999999998</v>
      </c>
      <c r="N355" s="6" t="s">
        <v>348</v>
      </c>
      <c r="O355" s="9" t="str" cm="1">
        <f t="array" ref="O355">INDEX(Ratings!$B$2:$L$42,_xlfn.XMATCH(Base!E339,Ratings!$A$2:$A$42),_xlfn.XMATCH(YEAR(Base!G339),Ratings!$B$1:$L$1))</f>
        <v>BB-</v>
      </c>
      <c r="P355">
        <f>IF(AND(O355&lt;&gt;"BBB-",O355&lt;&gt;"BBB",O355&lt;&gt;"BBB+"),0,1)</f>
        <v>0</v>
      </c>
      <c r="Q355" s="7">
        <f>INDEX('Bonds ANBIMA'!$F:$F,MATCH(Base!$B339,'Bonds ANBIMA'!$A:$A,0))</f>
        <v>2639.5452380952379</v>
      </c>
      <c r="R355" s="21">
        <f>INDEX('Bonds ANBIMA'!$H:$H,MATCH(Base!$B339,'Bonds ANBIMA'!$A:$A,0))</f>
        <v>0.75</v>
      </c>
      <c r="S355" s="7">
        <f>INDEX('Debêntures ANBIMA'!$O:$O,MATCH(Base!$B339,'Debêntures ANBIMA'!$A:$A,0))</f>
        <v>333.94772061764706</v>
      </c>
      <c r="T355" s="24">
        <f>INDEX('Debêntures ANBIMA'!$P:$P,MATCH(Base!$B339,'Debêntures ANBIMA'!$A:$A,0))</f>
        <v>0.70859317355091667</v>
      </c>
    </row>
    <row r="356" spans="1:20" x14ac:dyDescent="0.35">
      <c r="A356">
        <f>YEAR(B356)</f>
        <v>2019</v>
      </c>
      <c r="B356" s="12">
        <f>DATE(YEAR(G356),MONTH(G356),DAY(1))</f>
        <v>43678</v>
      </c>
      <c r="C356">
        <f>IF(E356&lt;&gt;E355,C355+1,C355)</f>
        <v>35</v>
      </c>
      <c r="D356" s="6" t="s">
        <v>329</v>
      </c>
      <c r="E356" s="6" t="s">
        <v>154</v>
      </c>
      <c r="F356" s="6" t="s">
        <v>346</v>
      </c>
      <c r="G356" s="1">
        <v>43703</v>
      </c>
      <c r="H356" s="1">
        <v>45530</v>
      </c>
      <c r="I356" s="7">
        <f>IF(H356-G356&gt;(365*5),1,0)</f>
        <v>1</v>
      </c>
      <c r="J356" s="22">
        <v>1</v>
      </c>
      <c r="K356" s="9" t="str">
        <f>IF($N356="USD",INDEX('Dólar Spot'!$C:$C,MATCH(Base!$G340,'Dólar Spot'!$A:$A,0)),"")</f>
        <v/>
      </c>
      <c r="L356" s="8">
        <v>400000000</v>
      </c>
      <c r="M356" s="7">
        <f>IF(N356="USD",L356*K356/1000000,L356/1000000)</f>
        <v>400</v>
      </c>
      <c r="N356" s="6" t="s">
        <v>348</v>
      </c>
      <c r="O356" s="9" t="str" cm="1">
        <f t="array" ref="O356">INDEX(Ratings!$B$2:$L$42,_xlfn.XMATCH(Base!E340,Ratings!$A$2:$A$42),_xlfn.XMATCH(YEAR(Base!G340),Ratings!$B$1:$L$1))</f>
        <v>NR</v>
      </c>
      <c r="P356">
        <f>IF(AND(O356&lt;&gt;"BBB-",O356&lt;&gt;"BBB",O356&lt;&gt;"BBB+"),0,1)</f>
        <v>0</v>
      </c>
      <c r="Q356" s="7">
        <f>INDEX('Bonds ANBIMA'!$F:$F,MATCH(Base!$B340,'Bonds ANBIMA'!$A:$A,0))</f>
        <v>0</v>
      </c>
      <c r="R356" s="21">
        <f>INDEX('Bonds ANBIMA'!$H:$H,MATCH(Base!$B340,'Bonds ANBIMA'!$A:$A,0))</f>
        <v>0.72222222222222221</v>
      </c>
      <c r="S356" s="7">
        <f>INDEX('Debêntures ANBIMA'!$O:$O,MATCH(Base!$B340,'Debêntures ANBIMA'!$A:$A,0))</f>
        <v>320.93409090909091</v>
      </c>
      <c r="T356" s="24">
        <f>INDEX('Debêntures ANBIMA'!$P:$P,MATCH(Base!$B340,'Debêntures ANBIMA'!$A:$A,0))</f>
        <v>0.78028231454019203</v>
      </c>
    </row>
    <row r="357" spans="1:20" x14ac:dyDescent="0.35">
      <c r="A357">
        <f>YEAR(B357)</f>
        <v>2019</v>
      </c>
      <c r="B357" s="12">
        <f>DATE(YEAR(G357),MONTH(G357),DAY(1))</f>
        <v>43678</v>
      </c>
      <c r="C357">
        <f>IF(E357&lt;&gt;E356,C356+1,C356)</f>
        <v>35</v>
      </c>
      <c r="D357" s="6" t="s">
        <v>329</v>
      </c>
      <c r="E357" s="6" t="s">
        <v>154</v>
      </c>
      <c r="F357" s="6" t="s">
        <v>346</v>
      </c>
      <c r="G357" s="1">
        <v>43703</v>
      </c>
      <c r="H357" s="1">
        <v>45530</v>
      </c>
      <c r="I357" s="7">
        <f>IF(H357-G357&gt;(365*5),1,0)</f>
        <v>1</v>
      </c>
      <c r="J357" s="22">
        <v>1</v>
      </c>
      <c r="K357" s="9" t="str">
        <f>IF($N357="USD",INDEX('Dólar Spot'!$C:$C,MATCH(Base!$G341,'Dólar Spot'!$A:$A,0)),"")</f>
        <v/>
      </c>
      <c r="L357" s="8">
        <v>95700000</v>
      </c>
      <c r="M357" s="7">
        <f>IF(N357="USD",L357*K357/1000000,L357/1000000)</f>
        <v>95.7</v>
      </c>
      <c r="N357" s="6" t="s">
        <v>348</v>
      </c>
      <c r="O357" s="9" t="str" cm="1">
        <f t="array" ref="O357">INDEX(Ratings!$B$2:$L$42,_xlfn.XMATCH(Base!E341,Ratings!$A$2:$A$42),_xlfn.XMATCH(YEAR(Base!G341),Ratings!$B$1:$L$1))</f>
        <v>NR</v>
      </c>
      <c r="P357">
        <f>IF(AND(O357&lt;&gt;"BBB-",O357&lt;&gt;"BBB",O357&lt;&gt;"BBB+"),0,1)</f>
        <v>0</v>
      </c>
      <c r="Q357" s="7">
        <f>INDEX('Bonds ANBIMA'!$F:$F,MATCH(Base!$B341,'Bonds ANBIMA'!$A:$A,0))</f>
        <v>0</v>
      </c>
      <c r="R357" s="21">
        <f>INDEX('Bonds ANBIMA'!$H:$H,MATCH(Base!$B341,'Bonds ANBIMA'!$A:$A,0))</f>
        <v>0.77272727272727271</v>
      </c>
      <c r="S357" s="7">
        <f>INDEX('Debêntures ANBIMA'!$O:$O,MATCH(Base!$B341,'Debêntures ANBIMA'!$A:$A,0))</f>
        <v>269.61020408163267</v>
      </c>
      <c r="T357" s="24">
        <f>INDEX('Debêntures ANBIMA'!$P:$P,MATCH(Base!$B341,'Debêntures ANBIMA'!$A:$A,0))</f>
        <v>0.83474381293078714</v>
      </c>
    </row>
    <row r="358" spans="1:20" x14ac:dyDescent="0.35">
      <c r="A358">
        <f>YEAR(B358)</f>
        <v>2019</v>
      </c>
      <c r="B358" s="12">
        <f>DATE(YEAR(G358),MONTH(G358),DAY(1))</f>
        <v>43678</v>
      </c>
      <c r="C358">
        <f>IF(E358&lt;&gt;E357,C357+1,C357)</f>
        <v>35</v>
      </c>
      <c r="D358" s="6" t="s">
        <v>329</v>
      </c>
      <c r="E358" s="6" t="s">
        <v>154</v>
      </c>
      <c r="F358" s="6" t="s">
        <v>346</v>
      </c>
      <c r="G358" s="1">
        <v>43703</v>
      </c>
      <c r="H358" s="1">
        <v>45530</v>
      </c>
      <c r="I358" s="7">
        <f>IF(H358-G358&gt;(365*5),1,0)</f>
        <v>1</v>
      </c>
      <c r="J358" s="22">
        <v>1</v>
      </c>
      <c r="K358" s="9" t="str">
        <f>IF($N358="USD",INDEX('Dólar Spot'!$C:$C,MATCH(Base!$G342,'Dólar Spot'!$A:$A,0)),"")</f>
        <v/>
      </c>
      <c r="L358" s="8">
        <v>687260000</v>
      </c>
      <c r="M358" s="7">
        <f>IF(N358="USD",L358*K358/1000000,L358/1000000)</f>
        <v>687.26</v>
      </c>
      <c r="N358" s="6" t="s">
        <v>348</v>
      </c>
      <c r="O358" s="9" t="str" cm="1">
        <f t="array" ref="O358">INDEX(Ratings!$B$2:$L$42,_xlfn.XMATCH(Base!E342,Ratings!$A$2:$A$42),_xlfn.XMATCH(YEAR(Base!G342),Ratings!$B$1:$L$1))</f>
        <v>NR</v>
      </c>
      <c r="P358">
        <f>IF(AND(O358&lt;&gt;"BBB-",O358&lt;&gt;"BBB",O358&lt;&gt;"BBB+"),0,1)</f>
        <v>0</v>
      </c>
      <c r="Q358" s="7">
        <f>INDEX('Bonds ANBIMA'!$F:$F,MATCH(Base!$B342,'Bonds ANBIMA'!$A:$A,0))</f>
        <v>2154.1763596491228</v>
      </c>
      <c r="R358" s="21">
        <f>INDEX('Bonds ANBIMA'!$H:$H,MATCH(Base!$B342,'Bonds ANBIMA'!$A:$A,0))</f>
        <v>0.8125</v>
      </c>
      <c r="S358" s="7">
        <f>INDEX('Debêntures ANBIMA'!$O:$O,MATCH(Base!$B342,'Debêntures ANBIMA'!$A:$A,0))</f>
        <v>599.62275384615384</v>
      </c>
      <c r="T358" s="24">
        <f>INDEX('Debêntures ANBIMA'!$P:$P,MATCH(Base!$B342,'Debêntures ANBIMA'!$A:$A,0))</f>
        <v>0.7802031687198594</v>
      </c>
    </row>
    <row r="359" spans="1:20" x14ac:dyDescent="0.35">
      <c r="A359">
        <f>YEAR(B359)</f>
        <v>2019</v>
      </c>
      <c r="B359" s="12">
        <f>DATE(YEAR(G359),MONTH(G359),DAY(1))</f>
        <v>43678</v>
      </c>
      <c r="C359">
        <f>IF(E359&lt;&gt;E358,C358+1,C358)</f>
        <v>35</v>
      </c>
      <c r="D359" s="6" t="s">
        <v>329</v>
      </c>
      <c r="E359" s="6" t="s">
        <v>154</v>
      </c>
      <c r="F359" s="6" t="s">
        <v>346</v>
      </c>
      <c r="G359" s="1">
        <v>43703</v>
      </c>
      <c r="H359" s="1">
        <v>45530</v>
      </c>
      <c r="I359" s="7">
        <f>IF(H359-G359&gt;(365*5),1,0)</f>
        <v>1</v>
      </c>
      <c r="J359" s="22">
        <v>1</v>
      </c>
      <c r="K359" s="9" t="str">
        <f>IF($N359="USD",INDEX('Dólar Spot'!$C:$C,MATCH(Base!$G343,'Dólar Spot'!$A:$A,0)),"")</f>
        <v/>
      </c>
      <c r="L359" s="8">
        <v>394520000</v>
      </c>
      <c r="M359" s="7">
        <f>IF(N359="USD",L359*K359/1000000,L359/1000000)</f>
        <v>394.52</v>
      </c>
      <c r="N359" s="6" t="s">
        <v>348</v>
      </c>
      <c r="O359" s="9" t="str" cm="1">
        <f t="array" ref="O359">INDEX(Ratings!$B$2:$L$42,_xlfn.XMATCH(Base!E343,Ratings!$A$2:$A$42),_xlfn.XMATCH(YEAR(Base!G343),Ratings!$B$1:$L$1))</f>
        <v>BB-</v>
      </c>
      <c r="P359">
        <f>IF(AND(O359&lt;&gt;"BBB-",O359&lt;&gt;"BBB",O359&lt;&gt;"BBB+"),0,1)</f>
        <v>0</v>
      </c>
      <c r="Q359" s="7">
        <f>INDEX('Bonds ANBIMA'!$F:$F,MATCH(Base!$B343,'Bonds ANBIMA'!$A:$A,0))</f>
        <v>2639.5452380952379</v>
      </c>
      <c r="R359" s="21">
        <f>INDEX('Bonds ANBIMA'!$H:$H,MATCH(Base!$B343,'Bonds ANBIMA'!$A:$A,0))</f>
        <v>0.75</v>
      </c>
      <c r="S359" s="7">
        <f>INDEX('Debêntures ANBIMA'!$O:$O,MATCH(Base!$B343,'Debêntures ANBIMA'!$A:$A,0))</f>
        <v>333.94772061764706</v>
      </c>
      <c r="T359" s="24">
        <f>INDEX('Debêntures ANBIMA'!$P:$P,MATCH(Base!$B343,'Debêntures ANBIMA'!$A:$A,0))</f>
        <v>0.70859317355091667</v>
      </c>
    </row>
    <row r="360" spans="1:20" x14ac:dyDescent="0.35">
      <c r="A360">
        <f>YEAR(B360)</f>
        <v>2021</v>
      </c>
      <c r="B360" s="12">
        <f>DATE(YEAR(G360),MONTH(G360),DAY(1))</f>
        <v>44317</v>
      </c>
      <c r="C360">
        <f>IF(E360&lt;&gt;E359,C359+1,C359)</f>
        <v>35</v>
      </c>
      <c r="D360" s="6" t="s">
        <v>155</v>
      </c>
      <c r="E360" s="6" t="s">
        <v>154</v>
      </c>
      <c r="F360" s="6" t="s">
        <v>233</v>
      </c>
      <c r="G360" s="1">
        <v>44319</v>
      </c>
      <c r="H360" s="1" t="s">
        <v>156</v>
      </c>
      <c r="I360" s="7">
        <f>IF(H360-G360&gt;(365*5),1,0)</f>
        <v>1</v>
      </c>
      <c r="J360" s="22">
        <v>1</v>
      </c>
      <c r="K360" s="9">
        <f>IF($N360="USD",INDEX('Dólar Spot'!$C:$C,MATCH(Base!$G326,'Dólar Spot'!$A:$A,0)),"")</f>
        <v>5.6227999999999998</v>
      </c>
      <c r="L360" s="8">
        <v>1000000000</v>
      </c>
      <c r="M360" s="7">
        <f>IF(N360="USD",L360*K360/1000000,L360/1000000)</f>
        <v>5622.8</v>
      </c>
      <c r="N360" s="6" t="s">
        <v>16</v>
      </c>
      <c r="O360" s="9" t="str" cm="1">
        <f t="array" ref="O360">INDEX(Ratings!$B$2:$L$42,_xlfn.XMATCH(Base!E326,Ratings!$A$2:$A$42),_xlfn.XMATCH(YEAR(Base!G326),Ratings!$B$1:$L$1))</f>
        <v>BB-</v>
      </c>
      <c r="P360">
        <f>IF(AND(O360&lt;&gt;"BBB-",O360&lt;&gt;"BBB",O360&lt;&gt;"BBB+"),0,1)</f>
        <v>0</v>
      </c>
      <c r="Q360" s="7">
        <f>INDEX('Bonds ANBIMA'!$F:$F,MATCH(Base!$B326,'Bonds ANBIMA'!$A:$A,0))</f>
        <v>0</v>
      </c>
      <c r="R360" s="21">
        <f>INDEX('Bonds ANBIMA'!$H:$H,MATCH(Base!$B326,'Bonds ANBIMA'!$A:$A,0))</f>
        <v>0.83333333333333337</v>
      </c>
      <c r="S360" s="7">
        <f>INDEX('Debêntures ANBIMA'!$O:$O,MATCH(Base!$B326,'Debêntures ANBIMA'!$A:$A,0))</f>
        <v>416.84068888888891</v>
      </c>
      <c r="T360" s="24">
        <f>INDEX('Debêntures ANBIMA'!$P:$P,MATCH(Base!$B326,'Debêntures ANBIMA'!$A:$A,0))</f>
        <v>0.8175482670039157</v>
      </c>
    </row>
    <row r="361" spans="1:20" x14ac:dyDescent="0.35">
      <c r="A361">
        <f>YEAR(B361)</f>
        <v>2018</v>
      </c>
      <c r="B361" s="12">
        <f>DATE(YEAR(G361),MONTH(G361),DAY(1))</f>
        <v>43132</v>
      </c>
      <c r="C361">
        <f>IF(E361&lt;&gt;E360,C360+1,C360)</f>
        <v>35</v>
      </c>
      <c r="D361" s="6" t="s">
        <v>155</v>
      </c>
      <c r="E361" s="6" t="s">
        <v>154</v>
      </c>
      <c r="F361" s="6" t="s">
        <v>233</v>
      </c>
      <c r="G361" s="1">
        <v>43132</v>
      </c>
      <c r="H361" s="1" t="s">
        <v>157</v>
      </c>
      <c r="I361" s="7">
        <f>IF(H361-G361&gt;(365*5),1,0)</f>
        <v>1</v>
      </c>
      <c r="J361" s="22">
        <v>1</v>
      </c>
      <c r="K361" s="9" t="e">
        <f>IF($N361="USD",INDEX('Dólar Spot'!$C:$C,MATCH(Base!$G327,'Dólar Spot'!$A:$A,0)),"")</f>
        <v>#N/A</v>
      </c>
      <c r="L361" s="8">
        <v>750000000</v>
      </c>
      <c r="M361" s="7" t="e">
        <f>IF(N361="USD",L361*K361/1000000,L361/1000000)</f>
        <v>#N/A</v>
      </c>
      <c r="N361" s="6" t="s">
        <v>16</v>
      </c>
      <c r="O361" s="9" t="str" cm="1">
        <f t="array" ref="O361">INDEX(Ratings!$B$2:$L$42,_xlfn.XMATCH(Base!E327,Ratings!$A$2:$A$42),_xlfn.XMATCH(YEAR(Base!G327),Ratings!$B$1:$L$1))</f>
        <v>NR</v>
      </c>
      <c r="P361">
        <f>IF(AND(O361&lt;&gt;"BBB-",O361&lt;&gt;"BBB",O361&lt;&gt;"BBB+"),0,1)</f>
        <v>0</v>
      </c>
      <c r="Q361" s="7">
        <f>INDEX('Bonds ANBIMA'!$F:$F,MATCH(Base!$B327,'Bonds ANBIMA'!$A:$A,0))</f>
        <v>1041.7998809523808</v>
      </c>
      <c r="R361" s="21">
        <f>INDEX('Bonds ANBIMA'!$H:$H,MATCH(Base!$B327,'Bonds ANBIMA'!$A:$A,0))</f>
        <v>0.88900000000000001</v>
      </c>
      <c r="S361" s="7">
        <f>INDEX('Debêntures ANBIMA'!$O:$O,MATCH(Base!$B327,'Debêntures ANBIMA'!$A:$A,0))</f>
        <v>287.34284210526317</v>
      </c>
      <c r="T361" s="24">
        <f>INDEX('Debêntures ANBIMA'!$P:$P,MATCH(Base!$B327,'Debêntures ANBIMA'!$A:$A,0))</f>
        <v>0.64590629073898931</v>
      </c>
    </row>
    <row r="362" spans="1:20" x14ac:dyDescent="0.35">
      <c r="A362">
        <f>YEAR(B362)</f>
        <v>2019</v>
      </c>
      <c r="B362" s="12">
        <f>DATE(YEAR(G362),MONTH(G362),DAY(1))</f>
        <v>43586</v>
      </c>
      <c r="C362">
        <f>IF(E362&lt;&gt;E361,C361+1,C361)</f>
        <v>36</v>
      </c>
      <c r="D362" s="6" t="s">
        <v>142</v>
      </c>
      <c r="E362" s="6" t="s">
        <v>131</v>
      </c>
      <c r="F362" s="6" t="s">
        <v>233</v>
      </c>
      <c r="G362" s="1">
        <v>43599</v>
      </c>
      <c r="H362" s="1" t="s">
        <v>143</v>
      </c>
      <c r="I362" s="7">
        <f>IF(H362-G362&gt;(365*5),1,0)</f>
        <v>1</v>
      </c>
      <c r="J362" s="22">
        <v>1</v>
      </c>
      <c r="K362" s="9">
        <f>IF($N362="USD",INDEX('Dólar Spot'!$C:$C,MATCH(Base!$G280,'Dólar Spot'!$A:$A,0)),"")</f>
        <v>3.2888999999999999</v>
      </c>
      <c r="L362" s="8">
        <v>1000000000</v>
      </c>
      <c r="M362" s="7">
        <f>IF(N362="USD",L362*K362/1000000,L362/1000000)</f>
        <v>3288.9</v>
      </c>
      <c r="N362" s="6" t="s">
        <v>16</v>
      </c>
      <c r="O362" s="9" t="str" cm="1">
        <f t="array" ref="O362">INDEX(Ratings!$B$2:$L$42,_xlfn.XMATCH(Base!E280,Ratings!$A$2:$A$42),_xlfn.XMATCH(YEAR(Base!G280),Ratings!$B$1:$L$1))</f>
        <v>NR</v>
      </c>
      <c r="P362">
        <f>IF(AND(O362&lt;&gt;"BBB-",O362&lt;&gt;"BBB",O362&lt;&gt;"BBB+"),0,1)</f>
        <v>0</v>
      </c>
      <c r="Q362" s="7">
        <f>INDEX('Bonds ANBIMA'!$F:$F,MATCH(Base!$B280,'Bonds ANBIMA'!$A:$A,0))</f>
        <v>1041.7998809523808</v>
      </c>
      <c r="R362" s="21">
        <f>INDEX('Bonds ANBIMA'!$H:$H,MATCH(Base!$B280,'Bonds ANBIMA'!$A:$A,0))</f>
        <v>0.88900000000000001</v>
      </c>
      <c r="S362" s="7">
        <f>INDEX('Debêntures ANBIMA'!$O:$O,MATCH(Base!$B280,'Debêntures ANBIMA'!$A:$A,0))</f>
        <v>287.34284210526317</v>
      </c>
      <c r="T362" s="24">
        <f>INDEX('Debêntures ANBIMA'!$P:$P,MATCH(Base!$B280,'Debêntures ANBIMA'!$A:$A,0))</f>
        <v>0.64590629073898931</v>
      </c>
    </row>
    <row r="363" spans="1:20" x14ac:dyDescent="0.35">
      <c r="A363">
        <f>YEAR(B363)</f>
        <v>2019</v>
      </c>
      <c r="B363" s="12">
        <f>DATE(YEAR(G363),MONTH(G363),DAY(1))</f>
        <v>43678</v>
      </c>
      <c r="C363">
        <f>IF(E363&lt;&gt;E362,C362+1,C362)</f>
        <v>36</v>
      </c>
      <c r="D363" s="6" t="s">
        <v>142</v>
      </c>
      <c r="E363" s="6" t="s">
        <v>131</v>
      </c>
      <c r="F363" s="6" t="s">
        <v>233</v>
      </c>
      <c r="G363" s="1">
        <v>43683</v>
      </c>
      <c r="H363" s="1" t="s">
        <v>144</v>
      </c>
      <c r="I363" s="7">
        <f>IF(H363-G363&gt;(365*5),1,0)</f>
        <v>1</v>
      </c>
      <c r="J363" s="22">
        <v>1</v>
      </c>
      <c r="K363" s="9">
        <f>IF($N363="USD",INDEX('Dólar Spot'!$C:$C,MATCH(Base!$G281,'Dólar Spot'!$A:$A,0)),"")</f>
        <v>5.4504000000000001</v>
      </c>
      <c r="L363" s="8">
        <v>500000000</v>
      </c>
      <c r="M363" s="7">
        <f>IF(N363="USD",L363*K363/1000000,L363/1000000)</f>
        <v>2725.2</v>
      </c>
      <c r="N363" s="6" t="s">
        <v>16</v>
      </c>
      <c r="O363" s="9" t="str" cm="1">
        <f t="array" ref="O363">INDEX(Ratings!$B$2:$L$42,_xlfn.XMATCH(Base!E281,Ratings!$A$2:$A$42),_xlfn.XMATCH(YEAR(Base!G281),Ratings!$B$1:$L$1))</f>
        <v>BB-</v>
      </c>
      <c r="P363">
        <f>IF(AND(O363&lt;&gt;"BBB-",O363&lt;&gt;"BBB",O363&lt;&gt;"BBB+"),0,1)</f>
        <v>0</v>
      </c>
      <c r="Q363" s="7">
        <f>INDEX('Bonds ANBIMA'!$F:$F,MATCH(Base!$B281,'Bonds ANBIMA'!$A:$A,0))</f>
        <v>830.90625000000023</v>
      </c>
      <c r="R363" s="21">
        <f>INDEX('Bonds ANBIMA'!$H:$H,MATCH(Base!$B281,'Bonds ANBIMA'!$A:$A,0))</f>
        <v>0.72727272727272729</v>
      </c>
      <c r="S363" s="7">
        <f>INDEX('Debêntures ANBIMA'!$O:$O,MATCH(Base!$B281,'Debêntures ANBIMA'!$A:$A,0))</f>
        <v>433.14238554216865</v>
      </c>
      <c r="T363" s="24">
        <f>INDEX('Debêntures ANBIMA'!$P:$P,MATCH(Base!$B281,'Debêntures ANBIMA'!$A:$A,0))</f>
        <v>0.92091969370314131</v>
      </c>
    </row>
    <row r="364" spans="1:20" x14ac:dyDescent="0.35">
      <c r="A364">
        <f>YEAR(B364)</f>
        <v>2012</v>
      </c>
      <c r="B364" s="12">
        <f>DATE(YEAR(G364),MONTH(G364),DAY(1))</f>
        <v>40940</v>
      </c>
      <c r="C364">
        <f>IF(E364&lt;&gt;E363,C363+1,C363)</f>
        <v>37</v>
      </c>
      <c r="D364" s="6" t="s">
        <v>159</v>
      </c>
      <c r="E364" s="6" t="s">
        <v>158</v>
      </c>
      <c r="F364" s="6" t="s">
        <v>233</v>
      </c>
      <c r="G364" s="1">
        <v>40949</v>
      </c>
      <c r="H364" s="1" t="s">
        <v>151</v>
      </c>
      <c r="I364" s="7">
        <f>IF(H364-G364&gt;(365*5),1,0)</f>
        <v>1</v>
      </c>
      <c r="J364" s="22">
        <v>1</v>
      </c>
      <c r="K364" s="9">
        <f>IF($N364="USD",INDEX('Dólar Spot'!$C:$C,MATCH(Base!$G344,'Dólar Spot'!$A:$A,0)),"")</f>
        <v>2.3361000000000001</v>
      </c>
      <c r="L364" s="8">
        <v>1100000000</v>
      </c>
      <c r="M364" s="7">
        <f>IF(N364="USD",L364*K364/1000000,L364/1000000)</f>
        <v>2569.71</v>
      </c>
      <c r="N364" s="6" t="s">
        <v>16</v>
      </c>
      <c r="O364" s="9" t="str" cm="1">
        <f t="array" ref="O364">INDEX(Ratings!$B$2:$L$42,_xlfn.XMATCH(Base!E344,Ratings!$A$2:$A$42),_xlfn.XMATCH(YEAR(Base!G344),Ratings!$B$1:$L$1))</f>
        <v>BBB</v>
      </c>
      <c r="P364">
        <f>IF(AND(O364&lt;&gt;"BBB-",O364&lt;&gt;"BBB",O364&lt;&gt;"BBB+"),0,1)</f>
        <v>1</v>
      </c>
      <c r="Q364" s="7">
        <f>INDEX('Bonds ANBIMA'!$F:$F,MATCH(Base!$B344,'Bonds ANBIMA'!$A:$A,0))</f>
        <v>2081.8212996774196</v>
      </c>
      <c r="R364" s="21">
        <f>INDEX('Bonds ANBIMA'!$H:$H,MATCH(Base!$B344,'Bonds ANBIMA'!$A:$A,0))</f>
        <v>0.7592592592592593</v>
      </c>
      <c r="S364" s="7">
        <f>INDEX('Debêntures ANBIMA'!$O:$O,MATCH(Base!$B344,'Debêntures ANBIMA'!$A:$A,0))</f>
        <v>185.36068965517242</v>
      </c>
      <c r="T364" s="24">
        <f>INDEX('Debêntures ANBIMA'!$P:$P,MATCH(Base!$B344,'Debêntures ANBIMA'!$A:$A,0))</f>
        <v>0.47168709151825478</v>
      </c>
    </row>
    <row r="365" spans="1:20" x14ac:dyDescent="0.35">
      <c r="A365">
        <f>YEAR(B365)</f>
        <v>2013</v>
      </c>
      <c r="B365" s="12">
        <f>DATE(YEAR(G365),MONTH(G365),DAY(1))</f>
        <v>41334</v>
      </c>
      <c r="C365">
        <f>IF(E365&lt;&gt;E364,C364+1,C364)</f>
        <v>37</v>
      </c>
      <c r="D365" s="6" t="s">
        <v>330</v>
      </c>
      <c r="E365" s="6" t="s">
        <v>158</v>
      </c>
      <c r="F365" s="6" t="s">
        <v>346</v>
      </c>
      <c r="G365" s="1">
        <v>41361</v>
      </c>
      <c r="H365" s="1">
        <v>43552</v>
      </c>
      <c r="I365" s="7">
        <f>IF(H365-G365&gt;(365*5),1,0)</f>
        <v>1</v>
      </c>
      <c r="J365" s="22">
        <v>1</v>
      </c>
      <c r="K365" s="9" t="str">
        <f>IF($N365="USD",INDEX('Dólar Spot'!$C:$C,MATCH(Base!$G346,'Dólar Spot'!$A:$A,0)),"")</f>
        <v/>
      </c>
      <c r="L365" s="8">
        <v>1500000000</v>
      </c>
      <c r="M365" s="7">
        <f>IF(N365="USD",L365*K365/1000000,L365/1000000)</f>
        <v>1500</v>
      </c>
      <c r="N365" s="6" t="s">
        <v>348</v>
      </c>
      <c r="O365" s="9" t="str" cm="1">
        <f t="array" ref="O365">INDEX(Ratings!$B$2:$L$42,_xlfn.XMATCH(Base!E346,Ratings!$A$2:$A$42),_xlfn.XMATCH(YEAR(Base!G346),Ratings!$B$1:$L$1))</f>
        <v>NR</v>
      </c>
      <c r="P365">
        <f>IF(AND(O365&lt;&gt;"BBB-",O365&lt;&gt;"BBB",O365&lt;&gt;"BBB+"),0,1)</f>
        <v>0</v>
      </c>
      <c r="Q365" s="7">
        <f>INDEX('Bonds ANBIMA'!$F:$F,MATCH(Base!$B346,'Bonds ANBIMA'!$A:$A,0))</f>
        <v>2664.0614999999998</v>
      </c>
      <c r="R365" s="21">
        <f>INDEX('Bonds ANBIMA'!$H:$H,MATCH(Base!$B346,'Bonds ANBIMA'!$A:$A,0))</f>
        <v>0.91666666666666663</v>
      </c>
      <c r="S365" s="7">
        <f>INDEX('Debêntures ANBIMA'!$O:$O,MATCH(Base!$B346,'Debêntures ANBIMA'!$A:$A,0))</f>
        <v>205.69069620833338</v>
      </c>
      <c r="T365" s="24">
        <f>INDEX('Debêntures ANBIMA'!$P:$P,MATCH(Base!$B346,'Debêntures ANBIMA'!$A:$A,0))</f>
        <v>0.45742910467193804</v>
      </c>
    </row>
    <row r="366" spans="1:20" x14ac:dyDescent="0.35">
      <c r="A366">
        <f>YEAR(B366)</f>
        <v>2011</v>
      </c>
      <c r="B366" s="12">
        <f>DATE(YEAR(G366),MONTH(G366),DAY(1))</f>
        <v>40756</v>
      </c>
      <c r="C366">
        <f>IF(E366&lt;&gt;E365,C365+1,C365)</f>
        <v>37</v>
      </c>
      <c r="D366" s="6" t="s">
        <v>330</v>
      </c>
      <c r="E366" s="6" t="s">
        <v>158</v>
      </c>
      <c r="F366" s="6" t="s">
        <v>346</v>
      </c>
      <c r="G366" s="1">
        <v>40763</v>
      </c>
      <c r="H366" s="1">
        <v>42955</v>
      </c>
      <c r="I366" s="7">
        <f>IF(H366-G366&gt;(365*5),1,0)</f>
        <v>1</v>
      </c>
      <c r="J366" s="22">
        <v>1</v>
      </c>
      <c r="K366" s="9" t="str">
        <f>IF($N366="USD",INDEX('Dólar Spot'!$C:$C,MATCH(Base!$G347,'Dólar Spot'!$A:$A,0)),"")</f>
        <v/>
      </c>
      <c r="L366" s="8">
        <v>1000000000</v>
      </c>
      <c r="M366" s="7">
        <f>IF(N366="USD",L366*K366/1000000,L366/1000000)</f>
        <v>1000</v>
      </c>
      <c r="N366" s="6" t="s">
        <v>348</v>
      </c>
      <c r="O366" s="9" t="str" cm="1">
        <f t="array" ref="O366">INDEX(Ratings!$B$2:$L$42,_xlfn.XMATCH(Base!E347,Ratings!$A$2:$A$42),_xlfn.XMATCH(YEAR(Base!G347),Ratings!$B$1:$L$1))</f>
        <v>BB</v>
      </c>
      <c r="P366">
        <f>IF(AND(O366&lt;&gt;"BBB-",O366&lt;&gt;"BBB",O366&lt;&gt;"BBB+"),0,1)</f>
        <v>0</v>
      </c>
      <c r="Q366" s="7">
        <f>INDEX('Bonds ANBIMA'!$F:$F,MATCH(Base!$B347,'Bonds ANBIMA'!$A:$A,0))</f>
        <v>2689.9516111111116</v>
      </c>
      <c r="R366" s="21">
        <f>INDEX('Bonds ANBIMA'!$H:$H,MATCH(Base!$B347,'Bonds ANBIMA'!$A:$A,0))</f>
        <v>0.75</v>
      </c>
      <c r="S366" s="7">
        <f>INDEX('Debêntures ANBIMA'!$O:$O,MATCH(Base!$B347,'Debêntures ANBIMA'!$A:$A,0))</f>
        <v>671.78941666666663</v>
      </c>
      <c r="T366" s="24">
        <f>INDEX('Debêntures ANBIMA'!$P:$P,MATCH(Base!$B347,'Debêntures ANBIMA'!$A:$A,0))</f>
        <v>0.77734496969042943</v>
      </c>
    </row>
    <row r="367" spans="1:20" x14ac:dyDescent="0.35">
      <c r="A367">
        <f>YEAR(B367)</f>
        <v>2011</v>
      </c>
      <c r="B367" s="12">
        <f>DATE(YEAR(G367),MONTH(G367),DAY(1))</f>
        <v>40878</v>
      </c>
      <c r="C367">
        <f>IF(E367&lt;&gt;E366,C366+1,C366)</f>
        <v>37</v>
      </c>
      <c r="D367" s="6" t="s">
        <v>330</v>
      </c>
      <c r="E367" s="6" t="s">
        <v>158</v>
      </c>
      <c r="F367" s="6" t="s">
        <v>346</v>
      </c>
      <c r="G367" s="1">
        <v>40905</v>
      </c>
      <c r="H367" s="1">
        <v>43462</v>
      </c>
      <c r="I367" s="7">
        <f>IF(H367-G367&gt;(365*5),1,0)</f>
        <v>1</v>
      </c>
      <c r="J367" s="22">
        <v>1</v>
      </c>
      <c r="K367" s="9" t="str">
        <f>IF($N367="USD",INDEX('Dólar Spot'!$C:$C,MATCH(Base!$G348,'Dólar Spot'!$A:$A,0)),"")</f>
        <v/>
      </c>
      <c r="L367" s="8">
        <v>2350000000</v>
      </c>
      <c r="M367" s="7">
        <f>IF(N367="USD",L367*K367/1000000,L367/1000000)</f>
        <v>2350</v>
      </c>
      <c r="N367" s="6" t="s">
        <v>348</v>
      </c>
      <c r="O367" s="9" t="str" cm="1">
        <f t="array" ref="O367">INDEX(Ratings!$B$2:$L$42,_xlfn.XMATCH(Base!E348,Ratings!$A$2:$A$42),_xlfn.XMATCH(YEAR(Base!G348),Ratings!$B$1:$L$1))</f>
        <v>BB</v>
      </c>
      <c r="P367">
        <f>IF(AND(O367&lt;&gt;"BBB-",O367&lt;&gt;"BBB",O367&lt;&gt;"BBB+"),0,1)</f>
        <v>0</v>
      </c>
      <c r="Q367" s="7">
        <f>INDEX('Bonds ANBIMA'!$F:$F,MATCH(Base!$B348,'Bonds ANBIMA'!$A:$A,0))</f>
        <v>4115.9473684210543</v>
      </c>
      <c r="R367" s="21">
        <f>INDEX('Bonds ANBIMA'!$H:$H,MATCH(Base!$B348,'Bonds ANBIMA'!$A:$A,0))</f>
        <v>0.75</v>
      </c>
      <c r="S367" s="7">
        <f>INDEX('Debêntures ANBIMA'!$O:$O,MATCH(Base!$B348,'Debêntures ANBIMA'!$A:$A,0))</f>
        <v>298.7746984126984</v>
      </c>
      <c r="T367" s="24">
        <f>INDEX('Debêntures ANBIMA'!$P:$P,MATCH(Base!$B348,'Debêntures ANBIMA'!$A:$A,0))</f>
        <v>0.70014729537622467</v>
      </c>
    </row>
    <row r="368" spans="1:20" x14ac:dyDescent="0.35">
      <c r="A368">
        <f>YEAR(B368)</f>
        <v>2012</v>
      </c>
      <c r="B368" s="12">
        <f>DATE(YEAR(G368),MONTH(G368),DAY(1))</f>
        <v>40969</v>
      </c>
      <c r="C368">
        <f>IF(E368&lt;&gt;E367,C367+1,C367)</f>
        <v>37</v>
      </c>
      <c r="D368" s="6" t="s">
        <v>330</v>
      </c>
      <c r="E368" s="6" t="s">
        <v>158</v>
      </c>
      <c r="F368" s="6" t="s">
        <v>346</v>
      </c>
      <c r="G368" s="1">
        <v>40983</v>
      </c>
      <c r="H368" s="1">
        <v>42809</v>
      </c>
      <c r="I368" s="7">
        <f>IF(H368-G368&gt;(365*5),1,0)</f>
        <v>1</v>
      </c>
      <c r="J368" s="22">
        <v>1</v>
      </c>
      <c r="K368" s="9" t="str">
        <f>IF($N368="USD",INDEX('Dólar Spot'!$C:$C,MATCH(Base!$G349,'Dólar Spot'!$A:$A,0)),"")</f>
        <v/>
      </c>
      <c r="L368" s="8">
        <v>400000000</v>
      </c>
      <c r="M368" s="7">
        <f>IF(N368="USD",L368*K368/1000000,L368/1000000)</f>
        <v>400</v>
      </c>
      <c r="N368" s="6" t="s">
        <v>348</v>
      </c>
      <c r="O368" s="9" t="str" cm="1">
        <f t="array" ref="O368">INDEX(Ratings!$B$2:$L$42,_xlfn.XMATCH(Base!E349,Ratings!$A$2:$A$42),_xlfn.XMATCH(YEAR(Base!G349),Ratings!$B$1:$L$1))</f>
        <v>BBB</v>
      </c>
      <c r="P368">
        <f>IF(AND(O368&lt;&gt;"BBB-",O368&lt;&gt;"BBB",O368&lt;&gt;"BBB+"),0,1)</f>
        <v>1</v>
      </c>
      <c r="Q368" s="7">
        <f>INDEX('Bonds ANBIMA'!$F:$F,MATCH(Base!$B349,'Bonds ANBIMA'!$A:$A,0))</f>
        <v>2081.8212996774196</v>
      </c>
      <c r="R368" s="21">
        <f>INDEX('Bonds ANBIMA'!$H:$H,MATCH(Base!$B349,'Bonds ANBIMA'!$A:$A,0))</f>
        <v>0.7592592592592593</v>
      </c>
      <c r="S368" s="7">
        <f>INDEX('Debêntures ANBIMA'!$O:$O,MATCH(Base!$B349,'Debêntures ANBIMA'!$A:$A,0))</f>
        <v>185.36068965517242</v>
      </c>
      <c r="T368" s="24">
        <f>INDEX('Debêntures ANBIMA'!$P:$P,MATCH(Base!$B349,'Debêntures ANBIMA'!$A:$A,0))</f>
        <v>0.47168709151825478</v>
      </c>
    </row>
    <row r="369" spans="1:20" x14ac:dyDescent="0.35">
      <c r="A369">
        <f>YEAR(B369)</f>
        <v>2012</v>
      </c>
      <c r="B369" s="12">
        <f>DATE(YEAR(G369),MONTH(G369),DAY(1))</f>
        <v>40969</v>
      </c>
      <c r="C369">
        <f>IF(E369&lt;&gt;E368,C368+1,C368)</f>
        <v>37</v>
      </c>
      <c r="D369" s="6" t="s">
        <v>330</v>
      </c>
      <c r="E369" s="6" t="s">
        <v>158</v>
      </c>
      <c r="F369" s="6" t="s">
        <v>346</v>
      </c>
      <c r="G369" s="1">
        <v>40983</v>
      </c>
      <c r="H369" s="1">
        <v>43905</v>
      </c>
      <c r="I369" s="7">
        <f>IF(H369-G369&gt;(365*5),1,0)</f>
        <v>1</v>
      </c>
      <c r="J369" s="22">
        <v>1</v>
      </c>
      <c r="K369" s="9" t="str">
        <f>IF($N369="USD",INDEX('Dólar Spot'!$C:$C,MATCH(Base!$G350,'Dólar Spot'!$A:$A,0)),"")</f>
        <v/>
      </c>
      <c r="L369" s="8">
        <v>1600000000</v>
      </c>
      <c r="M369" s="7">
        <f>IF(N369="USD",L369*K369/1000000,L369/1000000)</f>
        <v>1600</v>
      </c>
      <c r="N369" s="6" t="s">
        <v>347</v>
      </c>
      <c r="O369" s="9" t="str" cm="1">
        <f t="array" ref="O369">INDEX(Ratings!$B$2:$L$42,_xlfn.XMATCH(Base!E350,Ratings!$A$2:$A$42),_xlfn.XMATCH(YEAR(Base!G350),Ratings!$B$1:$L$1))</f>
        <v>BBB</v>
      </c>
      <c r="P369">
        <f>IF(AND(O369&lt;&gt;"BBB-",O369&lt;&gt;"BBB",O369&lt;&gt;"BBB+"),0,1)</f>
        <v>1</v>
      </c>
      <c r="Q369" s="7">
        <f>INDEX('Bonds ANBIMA'!$F:$F,MATCH(Base!$B350,'Bonds ANBIMA'!$A:$A,0))</f>
        <v>2929.4565909090911</v>
      </c>
      <c r="R369" s="21">
        <f>INDEX('Bonds ANBIMA'!$H:$H,MATCH(Base!$B350,'Bonds ANBIMA'!$A:$A,0))</f>
        <v>0.85714285714285721</v>
      </c>
      <c r="S369" s="7">
        <f>INDEX('Debêntures ANBIMA'!$O:$O,MATCH(Base!$B350,'Debêntures ANBIMA'!$A:$A,0))</f>
        <v>197.90450000000001</v>
      </c>
      <c r="T369" s="24">
        <f>INDEX('Debêntures ANBIMA'!$P:$P,MATCH(Base!$B350,'Debêntures ANBIMA'!$A:$A,0))</f>
        <v>0.40312625386019879</v>
      </c>
    </row>
    <row r="370" spans="1:20" x14ac:dyDescent="0.35">
      <c r="A370">
        <f>YEAR(B370)</f>
        <v>2018</v>
      </c>
      <c r="B370" s="12">
        <f>DATE(YEAR(G370),MONTH(G370),DAY(1))</f>
        <v>43132</v>
      </c>
      <c r="C370">
        <f>IF(E370&lt;&gt;E369,C369+1,C369)</f>
        <v>37</v>
      </c>
      <c r="D370" s="6" t="s">
        <v>330</v>
      </c>
      <c r="E370" s="6" t="s">
        <v>158</v>
      </c>
      <c r="F370" s="6" t="s">
        <v>346</v>
      </c>
      <c r="G370" s="1">
        <v>43136</v>
      </c>
      <c r="H370" s="1">
        <v>49365</v>
      </c>
      <c r="I370" s="7">
        <f>IF(H370-G370&gt;(365*5),1,0)</f>
        <v>1</v>
      </c>
      <c r="J370" s="22">
        <v>1</v>
      </c>
      <c r="K370" s="9" t="str">
        <f>IF($N370="USD",INDEX('Dólar Spot'!$C:$C,MATCH(Base!$G351,'Dólar Spot'!$A:$A,0)),"")</f>
        <v/>
      </c>
      <c r="L370" s="8">
        <v>4168602000</v>
      </c>
      <c r="M370" s="7">
        <f>IF(N370="USD",L370*K370/1000000,L370/1000000)</f>
        <v>4168.6019999999999</v>
      </c>
      <c r="N370" s="6" t="s">
        <v>348</v>
      </c>
      <c r="O370" s="9" t="str" cm="1">
        <f t="array" ref="O370">INDEX(Ratings!$B$2:$L$42,_xlfn.XMATCH(Base!E351,Ratings!$A$2:$A$42),_xlfn.XMATCH(YEAR(Base!G351),Ratings!$B$1:$L$1))</f>
        <v>NR</v>
      </c>
      <c r="P370">
        <f>IF(AND(O370&lt;&gt;"BBB-",O370&lt;&gt;"BBB",O370&lt;&gt;"BBB+"),0,1)</f>
        <v>0</v>
      </c>
      <c r="Q370" s="7">
        <f>INDEX('Bonds ANBIMA'!$F:$F,MATCH(Base!$B351,'Bonds ANBIMA'!$A:$A,0))</f>
        <v>2664.0614999999998</v>
      </c>
      <c r="R370" s="21">
        <f>INDEX('Bonds ANBIMA'!$H:$H,MATCH(Base!$B351,'Bonds ANBIMA'!$A:$A,0))</f>
        <v>0.91666666666666663</v>
      </c>
      <c r="S370" s="7">
        <f>INDEX('Debêntures ANBIMA'!$O:$O,MATCH(Base!$B351,'Debêntures ANBIMA'!$A:$A,0))</f>
        <v>205.69069620833338</v>
      </c>
      <c r="T370" s="24">
        <f>INDEX('Debêntures ANBIMA'!$P:$P,MATCH(Base!$B351,'Debêntures ANBIMA'!$A:$A,0))</f>
        <v>0.45742910467193804</v>
      </c>
    </row>
    <row r="371" spans="1:20" x14ac:dyDescent="0.35">
      <c r="A371">
        <f>YEAR(B371)</f>
        <v>2018</v>
      </c>
      <c r="B371" s="12">
        <f>DATE(YEAR(G371),MONTH(G371),DAY(1))</f>
        <v>43282</v>
      </c>
      <c r="C371">
        <f>IF(E371&lt;&gt;E370,C370+1,C370)</f>
        <v>37</v>
      </c>
      <c r="D371" s="6" t="s">
        <v>160</v>
      </c>
      <c r="E371" s="6" t="s">
        <v>158</v>
      </c>
      <c r="F371" s="6" t="s">
        <v>233</v>
      </c>
      <c r="G371" s="1">
        <v>43308</v>
      </c>
      <c r="H371" s="1" t="s">
        <v>161</v>
      </c>
      <c r="I371" s="7">
        <f>IF(H371-G371&gt;(365*5),1,0)</f>
        <v>1</v>
      </c>
      <c r="J371" s="22">
        <v>1</v>
      </c>
      <c r="K371" s="9">
        <f>IF($N371="USD",INDEX('Dólar Spot'!$C:$C,MATCH(Base!$G345,'Dólar Spot'!$A:$A,0)),"")</f>
        <v>3.2250999999999999</v>
      </c>
      <c r="L371" s="8">
        <v>1655600000</v>
      </c>
      <c r="M371" s="7">
        <f>IF(N371="USD",L371*K371/1000000,L371/1000000)</f>
        <v>5339.4755599999999</v>
      </c>
      <c r="N371" s="6" t="s">
        <v>16</v>
      </c>
      <c r="O371" s="9" t="str" cm="1">
        <f t="array" ref="O371">INDEX(Ratings!$B$2:$L$42,_xlfn.XMATCH(Base!E345,Ratings!$A$2:$A$42),_xlfn.XMATCH(YEAR(Base!G345),Ratings!$B$1:$L$1))</f>
        <v>BBB</v>
      </c>
      <c r="P371">
        <f>IF(AND(O371&lt;&gt;"BBB-",O371&lt;&gt;"BBB",O371&lt;&gt;"BBB+"),0,1)</f>
        <v>1</v>
      </c>
      <c r="Q371" s="7">
        <f>INDEX('Bonds ANBIMA'!$F:$F,MATCH(Base!$B345,'Bonds ANBIMA'!$A:$A,0))</f>
        <v>2929.4565909090911</v>
      </c>
      <c r="R371" s="21">
        <f>INDEX('Bonds ANBIMA'!$H:$H,MATCH(Base!$B345,'Bonds ANBIMA'!$A:$A,0))</f>
        <v>0.85714285714285721</v>
      </c>
      <c r="S371" s="7">
        <f>INDEX('Debêntures ANBIMA'!$O:$O,MATCH(Base!$B345,'Debêntures ANBIMA'!$A:$A,0))</f>
        <v>197.90450000000001</v>
      </c>
      <c r="T371" s="24">
        <f>INDEX('Debêntures ANBIMA'!$P:$P,MATCH(Base!$B345,'Debêntures ANBIMA'!$A:$A,0))</f>
        <v>0.40312625386019879</v>
      </c>
    </row>
    <row r="372" spans="1:20" x14ac:dyDescent="0.35">
      <c r="A372">
        <f>YEAR(B372)</f>
        <v>2020</v>
      </c>
      <c r="B372" s="12">
        <f>DATE(YEAR(G372),MONTH(G372),DAY(1))</f>
        <v>43983</v>
      </c>
      <c r="C372">
        <f>IF(E372&lt;&gt;E371,C371+1,C371)</f>
        <v>38</v>
      </c>
      <c r="D372" s="6" t="s">
        <v>163</v>
      </c>
      <c r="E372" s="6" t="s">
        <v>162</v>
      </c>
      <c r="F372" s="6" t="s">
        <v>233</v>
      </c>
      <c r="G372" s="1">
        <v>43985</v>
      </c>
      <c r="H372" s="1" t="s">
        <v>164</v>
      </c>
      <c r="I372" s="7">
        <f>IF(H372-G372&gt;(365*5),1,0)</f>
        <v>1</v>
      </c>
      <c r="J372" s="22">
        <v>1</v>
      </c>
      <c r="K372" s="9">
        <f>IF($N372="USD",INDEX('Dólar Spot'!$C:$C,MATCH(Base!$G352,'Dólar Spot'!$A:$A,0)),"")</f>
        <v>4.0721999999999996</v>
      </c>
      <c r="L372" s="8">
        <v>1500000000</v>
      </c>
      <c r="M372" s="7">
        <f>IF(N372="USD",L372*K372/1000000,L372/1000000)</f>
        <v>6108.2999999999993</v>
      </c>
      <c r="N372" s="6" t="s">
        <v>16</v>
      </c>
      <c r="O372" s="9" t="str" cm="1">
        <f t="array" ref="O372">INDEX(Ratings!$B$2:$L$42,_xlfn.XMATCH(Base!E352,Ratings!$A$2:$A$42),_xlfn.XMATCH(YEAR(Base!G352),Ratings!$B$1:$L$1))</f>
        <v>BB</v>
      </c>
      <c r="P372">
        <f>IF(AND(O372&lt;&gt;"BBB-",O372&lt;&gt;"BBB",O372&lt;&gt;"BBB+"),0,1)</f>
        <v>0</v>
      </c>
      <c r="Q372" s="7">
        <f>INDEX('Bonds ANBIMA'!$F:$F,MATCH(Base!$B352,'Bonds ANBIMA'!$A:$A,0))</f>
        <v>4115.9473684210543</v>
      </c>
      <c r="R372" s="21">
        <f>INDEX('Bonds ANBIMA'!$H:$H,MATCH(Base!$B352,'Bonds ANBIMA'!$A:$A,0))</f>
        <v>0.75</v>
      </c>
      <c r="S372" s="7">
        <f>INDEX('Debêntures ANBIMA'!$O:$O,MATCH(Base!$B352,'Debêntures ANBIMA'!$A:$A,0))</f>
        <v>298.7746984126984</v>
      </c>
      <c r="T372" s="24">
        <f>INDEX('Debêntures ANBIMA'!$P:$P,MATCH(Base!$B352,'Debêntures ANBIMA'!$A:$A,0))</f>
        <v>0.70014729537622467</v>
      </c>
    </row>
    <row r="373" spans="1:20" x14ac:dyDescent="0.35">
      <c r="A373">
        <f>YEAR(B373)</f>
        <v>2014</v>
      </c>
      <c r="B373" s="12">
        <f>DATE(YEAR(G373),MONTH(G373),DAY(1))</f>
        <v>41699</v>
      </c>
      <c r="C373">
        <f>IF(E373&lt;&gt;E372,C372+1,C372)</f>
        <v>38</v>
      </c>
      <c r="D373" s="6" t="s">
        <v>163</v>
      </c>
      <c r="E373" s="6" t="s">
        <v>162</v>
      </c>
      <c r="F373" s="6" t="s">
        <v>233</v>
      </c>
      <c r="G373" s="1">
        <v>41715</v>
      </c>
      <c r="H373" s="1" t="s">
        <v>166</v>
      </c>
      <c r="I373" s="7">
        <f>IF(H373-G373&gt;(365*5),1,0)</f>
        <v>1</v>
      </c>
      <c r="J373" s="22">
        <v>1</v>
      </c>
      <c r="K373" s="9">
        <f>IF($N373="USD",INDEX('Dólar Spot'!$C:$C,MATCH(Base!$G353,'Dólar Spot'!$A:$A,0)),"")</f>
        <v>2.3361000000000001</v>
      </c>
      <c r="L373" s="8">
        <v>1000000000</v>
      </c>
      <c r="M373" s="7">
        <f>IF(N373="USD",L373*K373/1000000,L373/1000000)</f>
        <v>2336.1</v>
      </c>
      <c r="N373" s="6" t="s">
        <v>16</v>
      </c>
      <c r="O373" s="9" t="str" cm="1">
        <f t="array" ref="O373">INDEX(Ratings!$B$2:$L$42,_xlfn.XMATCH(Base!E353,Ratings!$A$2:$A$42),_xlfn.XMATCH(YEAR(Base!G353),Ratings!$B$1:$L$1))</f>
        <v>BBB</v>
      </c>
      <c r="P373">
        <f>IF(AND(O373&lt;&gt;"BBB-",O373&lt;&gt;"BBB",O373&lt;&gt;"BBB+"),0,1)</f>
        <v>1</v>
      </c>
      <c r="Q373" s="7">
        <f>INDEX('Bonds ANBIMA'!$F:$F,MATCH(Base!$B353,'Bonds ANBIMA'!$A:$A,0))</f>
        <v>2081.8212996774196</v>
      </c>
      <c r="R373" s="21">
        <f>INDEX('Bonds ANBIMA'!$H:$H,MATCH(Base!$B353,'Bonds ANBIMA'!$A:$A,0))</f>
        <v>0.7592592592592593</v>
      </c>
      <c r="S373" s="7">
        <f>INDEX('Debêntures ANBIMA'!$O:$O,MATCH(Base!$B353,'Debêntures ANBIMA'!$A:$A,0))</f>
        <v>185.36068965517242</v>
      </c>
      <c r="T373" s="24">
        <f>INDEX('Debêntures ANBIMA'!$P:$P,MATCH(Base!$B353,'Debêntures ANBIMA'!$A:$A,0))</f>
        <v>0.47168709151825478</v>
      </c>
    </row>
    <row r="374" spans="1:20" x14ac:dyDescent="0.35">
      <c r="A374">
        <f>YEAR(B374)</f>
        <v>2021</v>
      </c>
      <c r="B374" s="12">
        <f>DATE(YEAR(G374),MONTH(G374),DAY(1))</f>
        <v>44348</v>
      </c>
      <c r="C374">
        <f>IF(E374&lt;&gt;E373,C373+1,C373)</f>
        <v>38</v>
      </c>
      <c r="D374" s="6" t="s">
        <v>163</v>
      </c>
      <c r="E374" s="6" t="s">
        <v>162</v>
      </c>
      <c r="F374" s="6" t="s">
        <v>233</v>
      </c>
      <c r="G374" s="1">
        <v>44357</v>
      </c>
      <c r="H374" s="1" t="s">
        <v>167</v>
      </c>
      <c r="I374" s="7">
        <f>IF(H374-G374&gt;(365*5),1,0)</f>
        <v>1</v>
      </c>
      <c r="J374" s="22">
        <v>1</v>
      </c>
      <c r="K374" s="9">
        <f>IF($N374="USD",INDEX('Dólar Spot'!$C:$C,MATCH(Base!$G354,'Dólar Spot'!$A:$A,0)),"")</f>
        <v>3.2250999999999999</v>
      </c>
      <c r="L374" s="8">
        <v>1500000000</v>
      </c>
      <c r="M374" s="7">
        <f>IF(N374="USD",L374*K374/1000000,L374/1000000)</f>
        <v>4837.6499999999996</v>
      </c>
      <c r="N374" s="6" t="s">
        <v>16</v>
      </c>
      <c r="O374" s="9" t="str" cm="1">
        <f t="array" ref="O374">INDEX(Ratings!$B$2:$L$42,_xlfn.XMATCH(Base!E354,Ratings!$A$2:$A$42),_xlfn.XMATCH(YEAR(Base!G354),Ratings!$B$1:$L$1))</f>
        <v>BBB</v>
      </c>
      <c r="P374">
        <f>IF(AND(O374&lt;&gt;"BBB-",O374&lt;&gt;"BBB",O374&lt;&gt;"BBB+"),0,1)</f>
        <v>1</v>
      </c>
      <c r="Q374" s="7">
        <f>INDEX('Bonds ANBIMA'!$F:$F,MATCH(Base!$B354,'Bonds ANBIMA'!$A:$A,0))</f>
        <v>2929.4565909090911</v>
      </c>
      <c r="R374" s="21">
        <f>INDEX('Bonds ANBIMA'!$H:$H,MATCH(Base!$B354,'Bonds ANBIMA'!$A:$A,0))</f>
        <v>0.85714285714285721</v>
      </c>
      <c r="S374" s="7">
        <f>INDEX('Debêntures ANBIMA'!$O:$O,MATCH(Base!$B354,'Debêntures ANBIMA'!$A:$A,0))</f>
        <v>197.90450000000001</v>
      </c>
      <c r="T374" s="24">
        <f>INDEX('Debêntures ANBIMA'!$P:$P,MATCH(Base!$B354,'Debêntures ANBIMA'!$A:$A,0))</f>
        <v>0.40312625386019879</v>
      </c>
    </row>
    <row r="375" spans="1:20" x14ac:dyDescent="0.35">
      <c r="A375">
        <f>YEAR(B375)</f>
        <v>2017</v>
      </c>
      <c r="B375" s="12">
        <f>DATE(YEAR(G375),MONTH(G375),DAY(1))</f>
        <v>42736</v>
      </c>
      <c r="C375">
        <f>IF(E375&lt;&gt;E374,C374+1,C374)</f>
        <v>38</v>
      </c>
      <c r="D375" s="6" t="s">
        <v>163</v>
      </c>
      <c r="E375" s="6" t="s">
        <v>162</v>
      </c>
      <c r="F375" s="6" t="s">
        <v>233</v>
      </c>
      <c r="G375" s="1">
        <v>42752</v>
      </c>
      <c r="H375" s="1" t="s">
        <v>168</v>
      </c>
      <c r="I375" s="7">
        <f>IF(H375-G375&gt;(365*5),1,0)</f>
        <v>1</v>
      </c>
      <c r="J375" s="22">
        <v>1</v>
      </c>
      <c r="K375" s="9">
        <f>IF($N375="USD",INDEX('Dólar Spot'!$C:$C,MATCH(Base!$G355,'Dólar Spot'!$A:$A,0)),"")</f>
        <v>4.0721999999999996</v>
      </c>
      <c r="L375" s="8">
        <v>2000000000</v>
      </c>
      <c r="M375" s="7">
        <f>IF(N375="USD",L375*K375/1000000,L375/1000000)</f>
        <v>8144.3999999999987</v>
      </c>
      <c r="N375" s="6" t="s">
        <v>16</v>
      </c>
      <c r="O375" s="9" t="str" cm="1">
        <f t="array" ref="O375">INDEX(Ratings!$B$2:$L$42,_xlfn.XMATCH(Base!E355,Ratings!$A$2:$A$42),_xlfn.XMATCH(YEAR(Base!G355),Ratings!$B$1:$L$1))</f>
        <v>BB</v>
      </c>
      <c r="P375">
        <f>IF(AND(O375&lt;&gt;"BBB-",O375&lt;&gt;"BBB",O375&lt;&gt;"BBB+"),0,1)</f>
        <v>0</v>
      </c>
      <c r="Q375" s="7">
        <f>INDEX('Bonds ANBIMA'!$F:$F,MATCH(Base!$B355,'Bonds ANBIMA'!$A:$A,0))</f>
        <v>4115.9473684210543</v>
      </c>
      <c r="R375" s="21">
        <f>INDEX('Bonds ANBIMA'!$H:$H,MATCH(Base!$B355,'Bonds ANBIMA'!$A:$A,0))</f>
        <v>0.75</v>
      </c>
      <c r="S375" s="7">
        <f>INDEX('Debêntures ANBIMA'!$O:$O,MATCH(Base!$B355,'Debêntures ANBIMA'!$A:$A,0))</f>
        <v>298.7746984126984</v>
      </c>
      <c r="T375" s="24">
        <f>INDEX('Debêntures ANBIMA'!$P:$P,MATCH(Base!$B355,'Debêntures ANBIMA'!$A:$A,0))</f>
        <v>0.70014729537622467</v>
      </c>
    </row>
    <row r="376" spans="1:20" x14ac:dyDescent="0.35">
      <c r="A376">
        <f>YEAR(B376)</f>
        <v>2019</v>
      </c>
      <c r="B376" s="12">
        <f>DATE(YEAR(G376),MONTH(G376),DAY(1))</f>
        <v>43525</v>
      </c>
      <c r="C376">
        <f>IF(E376&lt;&gt;E375,C375+1,C375)</f>
        <v>38</v>
      </c>
      <c r="D376" s="6" t="s">
        <v>163</v>
      </c>
      <c r="E376" s="6" t="s">
        <v>162</v>
      </c>
      <c r="F376" s="6" t="s">
        <v>233</v>
      </c>
      <c r="G376" s="1">
        <v>43543</v>
      </c>
      <c r="H376" s="1" t="s">
        <v>169</v>
      </c>
      <c r="I376" s="7">
        <f>IF(H376-G376&gt;(365*5),1,0)</f>
        <v>1</v>
      </c>
      <c r="J376" s="22">
        <v>1</v>
      </c>
      <c r="K376" s="9">
        <f>IF($N376="USD",INDEX('Dólar Spot'!$C:$C,MATCH(Base!$G356,'Dólar Spot'!$A:$A,0)),"")</f>
        <v>4.1360999999999999</v>
      </c>
      <c r="L376" s="8">
        <v>2250000000</v>
      </c>
      <c r="M376" s="7">
        <f>IF(N376="USD",L376*K376/1000000,L376/1000000)</f>
        <v>9306.2250000000004</v>
      </c>
      <c r="N376" s="6" t="s">
        <v>16</v>
      </c>
      <c r="O376" s="9" t="str" cm="1">
        <f t="array" ref="O376">INDEX(Ratings!$B$2:$L$42,_xlfn.XMATCH(Base!E356,Ratings!$A$2:$A$42),_xlfn.XMATCH(YEAR(Base!G356),Ratings!$B$1:$L$1))</f>
        <v>BB</v>
      </c>
      <c r="P376">
        <f>IF(AND(O376&lt;&gt;"BBB-",O376&lt;&gt;"BBB",O376&lt;&gt;"BBB+"),0,1)</f>
        <v>0</v>
      </c>
      <c r="Q376" s="7">
        <f>INDEX('Bonds ANBIMA'!$F:$F,MATCH(Base!$B356,'Bonds ANBIMA'!$A:$A,0))</f>
        <v>2009.6909090909087</v>
      </c>
      <c r="R376" s="21">
        <f>INDEX('Bonds ANBIMA'!$H:$H,MATCH(Base!$B356,'Bonds ANBIMA'!$A:$A,0))</f>
        <v>0.85714285714285721</v>
      </c>
      <c r="S376" s="7">
        <f>INDEX('Debêntures ANBIMA'!$O:$O,MATCH(Base!$B356,'Debêntures ANBIMA'!$A:$A,0))</f>
        <v>523.03090625000004</v>
      </c>
      <c r="T376" s="24">
        <f>INDEX('Debêntures ANBIMA'!$P:$P,MATCH(Base!$B356,'Debêntures ANBIMA'!$A:$A,0))</f>
        <v>0.41570842895983912</v>
      </c>
    </row>
    <row r="377" spans="1:20" x14ac:dyDescent="0.35">
      <c r="A377">
        <f>YEAR(B377)</f>
        <v>2014</v>
      </c>
      <c r="B377" s="12">
        <f>DATE(YEAR(G377),MONTH(G377),DAY(1))</f>
        <v>41699</v>
      </c>
      <c r="C377">
        <f>IF(E377&lt;&gt;E376,C376+1,C376)</f>
        <v>38</v>
      </c>
      <c r="D377" s="6" t="s">
        <v>163</v>
      </c>
      <c r="E377" s="6" t="s">
        <v>162</v>
      </c>
      <c r="F377" s="6" t="s">
        <v>233</v>
      </c>
      <c r="G377" s="1">
        <v>41715</v>
      </c>
      <c r="H377" s="1" t="s">
        <v>170</v>
      </c>
      <c r="I377" s="7">
        <f>IF(H377-G377&gt;(365*5),1,0)</f>
        <v>1</v>
      </c>
      <c r="J377" s="22">
        <v>1</v>
      </c>
      <c r="K377" s="9">
        <f>IF($N377="USD",INDEX('Dólar Spot'!$C:$C,MATCH(Base!$G357,'Dólar Spot'!$A:$A,0)),"")</f>
        <v>4.1360999999999999</v>
      </c>
      <c r="L377" s="8">
        <v>2500000000</v>
      </c>
      <c r="M377" s="7">
        <f>IF(N377="USD",L377*K377/1000000,L377/1000000)</f>
        <v>10340.25</v>
      </c>
      <c r="N377" s="6" t="s">
        <v>16</v>
      </c>
      <c r="O377" s="9" t="str" cm="1">
        <f t="array" ref="O377">INDEX(Ratings!$B$2:$L$42,_xlfn.XMATCH(Base!E357,Ratings!$A$2:$A$42),_xlfn.XMATCH(YEAR(Base!G357),Ratings!$B$1:$L$1))</f>
        <v>BB</v>
      </c>
      <c r="P377">
        <f>IF(AND(O377&lt;&gt;"BBB-",O377&lt;&gt;"BBB",O377&lt;&gt;"BBB+"),0,1)</f>
        <v>0</v>
      </c>
      <c r="Q377" s="7">
        <f>INDEX('Bonds ANBIMA'!$F:$F,MATCH(Base!$B357,'Bonds ANBIMA'!$A:$A,0))</f>
        <v>2009.6909090909087</v>
      </c>
      <c r="R377" s="21">
        <f>INDEX('Bonds ANBIMA'!$H:$H,MATCH(Base!$B357,'Bonds ANBIMA'!$A:$A,0))</f>
        <v>0.85714285714285721</v>
      </c>
      <c r="S377" s="7">
        <f>INDEX('Debêntures ANBIMA'!$O:$O,MATCH(Base!$B357,'Debêntures ANBIMA'!$A:$A,0))</f>
        <v>523.03090625000004</v>
      </c>
      <c r="T377" s="24">
        <f>INDEX('Debêntures ANBIMA'!$P:$P,MATCH(Base!$B357,'Debêntures ANBIMA'!$A:$A,0))</f>
        <v>0.41570842895983912</v>
      </c>
    </row>
    <row r="378" spans="1:20" x14ac:dyDescent="0.35">
      <c r="A378">
        <f>YEAR(B378)</f>
        <v>2018</v>
      </c>
      <c r="B378" s="12">
        <f>DATE(YEAR(G378),MONTH(G378),DAY(1))</f>
        <v>43132</v>
      </c>
      <c r="C378">
        <f>IF(E378&lt;&gt;E377,C377+1,C377)</f>
        <v>38</v>
      </c>
      <c r="D378" s="6" t="s">
        <v>163</v>
      </c>
      <c r="E378" s="6" t="s">
        <v>162</v>
      </c>
      <c r="F378" s="6" t="s">
        <v>233</v>
      </c>
      <c r="G378" s="1">
        <v>43132</v>
      </c>
      <c r="H378" s="1" t="s">
        <v>172</v>
      </c>
      <c r="I378" s="7">
        <f>IF(H378-G378&gt;(365*5),1,0)</f>
        <v>1</v>
      </c>
      <c r="J378" s="22">
        <v>1</v>
      </c>
      <c r="K378" s="9">
        <f>IF($N378="USD",INDEX('Dólar Spot'!$C:$C,MATCH(Base!$G358,'Dólar Spot'!$A:$A,0)),"")</f>
        <v>4.1360999999999999</v>
      </c>
      <c r="L378" s="8">
        <v>2000000000</v>
      </c>
      <c r="M378" s="7">
        <f>IF(N378="USD",L378*K378/1000000,L378/1000000)</f>
        <v>8272.2000000000007</v>
      </c>
      <c r="N378" s="6" t="s">
        <v>16</v>
      </c>
      <c r="O378" s="9" t="str" cm="1">
        <f t="array" ref="O378">INDEX(Ratings!$B$2:$L$42,_xlfn.XMATCH(Base!E358,Ratings!$A$2:$A$42),_xlfn.XMATCH(YEAR(Base!G358),Ratings!$B$1:$L$1))</f>
        <v>BB</v>
      </c>
      <c r="P378">
        <f>IF(AND(O378&lt;&gt;"BBB-",O378&lt;&gt;"BBB",O378&lt;&gt;"BBB+"),0,1)</f>
        <v>0</v>
      </c>
      <c r="Q378" s="7">
        <f>INDEX('Bonds ANBIMA'!$F:$F,MATCH(Base!$B358,'Bonds ANBIMA'!$A:$A,0))</f>
        <v>2009.6909090909087</v>
      </c>
      <c r="R378" s="21">
        <f>INDEX('Bonds ANBIMA'!$H:$H,MATCH(Base!$B358,'Bonds ANBIMA'!$A:$A,0))</f>
        <v>0.85714285714285721</v>
      </c>
      <c r="S378" s="7">
        <f>INDEX('Debêntures ANBIMA'!$O:$O,MATCH(Base!$B358,'Debêntures ANBIMA'!$A:$A,0))</f>
        <v>523.03090625000004</v>
      </c>
      <c r="T378" s="24">
        <f>INDEX('Debêntures ANBIMA'!$P:$P,MATCH(Base!$B358,'Debêntures ANBIMA'!$A:$A,0))</f>
        <v>0.41570842895983912</v>
      </c>
    </row>
    <row r="379" spans="1:20" x14ac:dyDescent="0.35">
      <c r="A379">
        <f>YEAR(B379)</f>
        <v>2011</v>
      </c>
      <c r="B379" s="12">
        <f>DATE(YEAR(G379),MONTH(G379),DAY(1))</f>
        <v>40544</v>
      </c>
      <c r="C379">
        <f>IF(E379&lt;&gt;E378,C378+1,C378)</f>
        <v>38</v>
      </c>
      <c r="D379" s="6" t="s">
        <v>163</v>
      </c>
      <c r="E379" s="6" t="s">
        <v>162</v>
      </c>
      <c r="F379" s="6" t="s">
        <v>233</v>
      </c>
      <c r="G379" s="1">
        <v>40570</v>
      </c>
      <c r="H379" s="1" t="s">
        <v>174</v>
      </c>
      <c r="I379" s="7">
        <f>IF(H379-G379&gt;(365*5),1,0)</f>
        <v>1</v>
      </c>
      <c r="J379" s="22">
        <v>1</v>
      </c>
      <c r="K379" s="9">
        <f>IF($N379="USD",INDEX('Dólar Spot'!$C:$C,MATCH(Base!$G359,'Dólar Spot'!$A:$A,0)),"")</f>
        <v>4.1360999999999999</v>
      </c>
      <c r="L379" s="8">
        <v>1000000000</v>
      </c>
      <c r="M379" s="7">
        <f>IF(N379="USD",L379*K379/1000000,L379/1000000)</f>
        <v>4136.1000000000004</v>
      </c>
      <c r="N379" s="6" t="s">
        <v>16</v>
      </c>
      <c r="O379" s="9" t="str" cm="1">
        <f t="array" ref="O379">INDEX(Ratings!$B$2:$L$42,_xlfn.XMATCH(Base!E359,Ratings!$A$2:$A$42),_xlfn.XMATCH(YEAR(Base!G359),Ratings!$B$1:$L$1))</f>
        <v>BB</v>
      </c>
      <c r="P379">
        <f>IF(AND(O379&lt;&gt;"BBB-",O379&lt;&gt;"BBB",O379&lt;&gt;"BBB+"),0,1)</f>
        <v>0</v>
      </c>
      <c r="Q379" s="7">
        <f>INDEX('Bonds ANBIMA'!$F:$F,MATCH(Base!$B359,'Bonds ANBIMA'!$A:$A,0))</f>
        <v>2009.6909090909087</v>
      </c>
      <c r="R379" s="21">
        <f>INDEX('Bonds ANBIMA'!$H:$H,MATCH(Base!$B359,'Bonds ANBIMA'!$A:$A,0))</f>
        <v>0.85714285714285721</v>
      </c>
      <c r="S379" s="7">
        <f>INDEX('Debêntures ANBIMA'!$O:$O,MATCH(Base!$B359,'Debêntures ANBIMA'!$A:$A,0))</f>
        <v>523.03090625000004</v>
      </c>
      <c r="T379" s="24">
        <f>INDEX('Debêntures ANBIMA'!$P:$P,MATCH(Base!$B359,'Debêntures ANBIMA'!$A:$A,0))</f>
        <v>0.41570842895983912</v>
      </c>
    </row>
    <row r="380" spans="1:20" x14ac:dyDescent="0.35">
      <c r="A380">
        <f>YEAR(B380)</f>
        <v>2016</v>
      </c>
      <c r="B380" s="12">
        <f>DATE(YEAR(G380),MONTH(G380),DAY(1))</f>
        <v>42491</v>
      </c>
      <c r="C380">
        <f>IF(E380&lt;&gt;E379,C379+1,C379)</f>
        <v>38</v>
      </c>
      <c r="D380" s="6" t="s">
        <v>163</v>
      </c>
      <c r="E380" s="6" t="s">
        <v>162</v>
      </c>
      <c r="F380" s="6" t="s">
        <v>233</v>
      </c>
      <c r="G380" s="1">
        <v>42513</v>
      </c>
      <c r="H380" s="1" t="s">
        <v>175</v>
      </c>
      <c r="I380" s="7">
        <f>IF(H380-G380&gt;(365*5),1,0)</f>
        <v>1</v>
      </c>
      <c r="J380" s="22">
        <v>1</v>
      </c>
      <c r="K380" s="9">
        <f>IF($N380="USD",INDEX('Dólar Spot'!$C:$C,MATCH(Base!$G360,'Dólar Spot'!$A:$A,0)),"")</f>
        <v>5.4081000000000001</v>
      </c>
      <c r="L380" s="8">
        <v>1750000000</v>
      </c>
      <c r="M380" s="7">
        <f>IF(N380="USD",L380*K380/1000000,L380/1000000)</f>
        <v>9464.1749999999993</v>
      </c>
      <c r="N380" s="6" t="s">
        <v>16</v>
      </c>
      <c r="O380" s="9" t="str" cm="1">
        <f t="array" ref="O380">INDEX(Ratings!$B$2:$L$42,_xlfn.XMATCH(Base!E360,Ratings!$A$2:$A$42),_xlfn.XMATCH(YEAR(Base!G360),Ratings!$B$1:$L$1))</f>
        <v>BB</v>
      </c>
      <c r="P380">
        <f>IF(AND(O380&lt;&gt;"BBB-",O380&lt;&gt;"BBB",O380&lt;&gt;"BBB+"),0,1)</f>
        <v>0</v>
      </c>
      <c r="Q380" s="7">
        <f>INDEX('Bonds ANBIMA'!$F:$F,MATCH(Base!$B360,'Bonds ANBIMA'!$A:$A,0))</f>
        <v>3703.5200000000004</v>
      </c>
      <c r="R380" s="21">
        <f>INDEX('Bonds ANBIMA'!$H:$H,MATCH(Base!$B360,'Bonds ANBIMA'!$A:$A,0))</f>
        <v>0.85714285714285721</v>
      </c>
      <c r="S380" s="7">
        <f>INDEX('Debêntures ANBIMA'!$O:$O,MATCH(Base!$B360,'Debêntures ANBIMA'!$A:$A,0))</f>
        <v>328.13531108771929</v>
      </c>
      <c r="T380" s="24">
        <f>INDEX('Debêntures ANBIMA'!$P:$P,MATCH(Base!$B360,'Debêntures ANBIMA'!$A:$A,0))</f>
        <v>0.63540417434387042</v>
      </c>
    </row>
    <row r="381" spans="1:20" x14ac:dyDescent="0.35">
      <c r="A381">
        <f>YEAR(B381)</f>
        <v>2020</v>
      </c>
      <c r="B381" s="12">
        <f>DATE(YEAR(G381),MONTH(G381),DAY(1))</f>
        <v>43983</v>
      </c>
      <c r="C381">
        <f>IF(E381&lt;&gt;E380,C380+1,C380)</f>
        <v>38</v>
      </c>
      <c r="D381" s="6" t="s">
        <v>163</v>
      </c>
      <c r="E381" s="6" t="s">
        <v>162</v>
      </c>
      <c r="F381" s="6" t="s">
        <v>233</v>
      </c>
      <c r="G381" s="1">
        <v>43985</v>
      </c>
      <c r="H381" s="1" t="s">
        <v>176</v>
      </c>
      <c r="I381" s="7">
        <f>IF(H381-G381&gt;(365*5),1,0)</f>
        <v>1</v>
      </c>
      <c r="J381" s="22">
        <v>1</v>
      </c>
      <c r="K381" s="9">
        <f>IF($N381="USD",INDEX('Dólar Spot'!$C:$C,MATCH(Base!$G361,'Dólar Spot'!$A:$A,0)),"")</f>
        <v>3.1724000000000001</v>
      </c>
      <c r="L381" s="8">
        <v>1750000000</v>
      </c>
      <c r="M381" s="7">
        <f>IF(N381="USD",L381*K381/1000000,L381/1000000)</f>
        <v>5551.7</v>
      </c>
      <c r="N381" s="6" t="s">
        <v>16</v>
      </c>
      <c r="O381" s="9" t="str" cm="1">
        <f t="array" ref="O381">INDEX(Ratings!$B$2:$L$42,_xlfn.XMATCH(Base!E361,Ratings!$A$2:$A$42),_xlfn.XMATCH(YEAR(Base!G361),Ratings!$B$1:$L$1))</f>
        <v>BB</v>
      </c>
      <c r="P381">
        <f>IF(AND(O381&lt;&gt;"BBB-",O381&lt;&gt;"BBB",O381&lt;&gt;"BBB+"),0,1)</f>
        <v>0</v>
      </c>
      <c r="Q381" s="7">
        <f>INDEX('Bonds ANBIMA'!$F:$F,MATCH(Base!$B361,'Bonds ANBIMA'!$A:$A,0))</f>
        <v>2689.9516111111116</v>
      </c>
      <c r="R381" s="21">
        <f>INDEX('Bonds ANBIMA'!$H:$H,MATCH(Base!$B361,'Bonds ANBIMA'!$A:$A,0))</f>
        <v>0.75</v>
      </c>
      <c r="S381" s="7">
        <f>INDEX('Debêntures ANBIMA'!$O:$O,MATCH(Base!$B361,'Debêntures ANBIMA'!$A:$A,0))</f>
        <v>671.78941666666663</v>
      </c>
      <c r="T381" s="24">
        <f>INDEX('Debêntures ANBIMA'!$P:$P,MATCH(Base!$B361,'Debêntures ANBIMA'!$A:$A,0))</f>
        <v>0.77734496969042943</v>
      </c>
    </row>
    <row r="382" spans="1:20" x14ac:dyDescent="0.35">
      <c r="A382">
        <f>YEAR(B382)</f>
        <v>2013</v>
      </c>
      <c r="B382" s="12">
        <f>DATE(YEAR(G382),MONTH(G382),DAY(1))</f>
        <v>41395</v>
      </c>
      <c r="C382">
        <f>IF(E382&lt;&gt;E381,C381+1,C381)</f>
        <v>38</v>
      </c>
      <c r="D382" s="6" t="s">
        <v>163</v>
      </c>
      <c r="E382" s="6" t="s">
        <v>162</v>
      </c>
      <c r="F382" s="6" t="s">
        <v>233</v>
      </c>
      <c r="G382" s="1">
        <v>41414</v>
      </c>
      <c r="H382" s="1" t="s">
        <v>177</v>
      </c>
      <c r="I382" s="7">
        <f>IF(H382-G382&gt;(365*5),1,0)</f>
        <v>1</v>
      </c>
      <c r="J382" s="22">
        <v>1</v>
      </c>
      <c r="K382" s="9">
        <f>IF($N382="USD",INDEX('Dólar Spot'!$C:$C,MATCH(Base!$G362,'Dólar Spot'!$A:$A,0)),"")</f>
        <v>3.9782000000000002</v>
      </c>
      <c r="L382" s="8">
        <v>1750000000</v>
      </c>
      <c r="M382" s="7">
        <f>IF(N382="USD",L382*K382/1000000,L382/1000000)</f>
        <v>6961.85</v>
      </c>
      <c r="N382" s="6" t="s">
        <v>16</v>
      </c>
      <c r="O382" s="9" t="str" cm="1">
        <f t="array" ref="O382">INDEX(Ratings!$B$2:$L$42,_xlfn.XMATCH(Base!E362,Ratings!$A$2:$A$42),_xlfn.XMATCH(YEAR(Base!G362),Ratings!$B$1:$L$1))</f>
        <v>BB-</v>
      </c>
      <c r="P382">
        <f>IF(AND(O382&lt;&gt;"BBB-",O382&lt;&gt;"BBB",O382&lt;&gt;"BBB+"),0,1)</f>
        <v>0</v>
      </c>
      <c r="Q382" s="7">
        <f>INDEX('Bonds ANBIMA'!$F:$F,MATCH(Base!$B362,'Bonds ANBIMA'!$A:$A,0))</f>
        <v>1000.2295454545454</v>
      </c>
      <c r="R382" s="21">
        <f>INDEX('Bonds ANBIMA'!$H:$H,MATCH(Base!$B362,'Bonds ANBIMA'!$A:$A,0))</f>
        <v>0.84615384615384615</v>
      </c>
      <c r="S382" s="7">
        <f>INDEX('Debêntures ANBIMA'!$O:$O,MATCH(Base!$B362,'Debêntures ANBIMA'!$A:$A,0))</f>
        <v>326.08475806451617</v>
      </c>
      <c r="T382" s="24">
        <f>INDEX('Debêntures ANBIMA'!$P:$P,MATCH(Base!$B362,'Debêntures ANBIMA'!$A:$A,0))</f>
        <v>0.72465429019647709</v>
      </c>
    </row>
    <row r="383" spans="1:20" x14ac:dyDescent="0.35">
      <c r="A383">
        <f>YEAR(B383)</f>
        <v>2017</v>
      </c>
      <c r="B383" s="12">
        <f>DATE(YEAR(G383),MONTH(G383),DAY(1))</f>
        <v>42979</v>
      </c>
      <c r="C383">
        <f>IF(E383&lt;&gt;E382,C382+1,C382)</f>
        <v>38</v>
      </c>
      <c r="D383" s="6" t="s">
        <v>163</v>
      </c>
      <c r="E383" s="6" t="s">
        <v>162</v>
      </c>
      <c r="F383" s="6" t="s">
        <v>233</v>
      </c>
      <c r="G383" s="1">
        <v>43005</v>
      </c>
      <c r="H383" s="1" t="s">
        <v>165</v>
      </c>
      <c r="I383" s="7">
        <f>IF(H383-G383&gt;(365*5),1,0)</f>
        <v>1</v>
      </c>
      <c r="J383" s="22">
        <v>1</v>
      </c>
      <c r="K383" s="9">
        <f>IF($N383="USD",INDEX('Dólar Spot'!$C:$C,MATCH(Base!$G363,'Dólar Spot'!$A:$A,0)),"")</f>
        <v>3.9636999999999998</v>
      </c>
      <c r="L383" s="8">
        <v>5836134000</v>
      </c>
      <c r="M383" s="7">
        <f>IF(N383="USD",L383*K383/1000000,L383/1000000)</f>
        <v>23132.684335800001</v>
      </c>
      <c r="N383" s="6" t="s">
        <v>16</v>
      </c>
      <c r="O383" s="9" t="str" cm="1">
        <f t="array" ref="O383">INDEX(Ratings!$B$2:$L$42,_xlfn.XMATCH(Base!E363,Ratings!$A$2:$A$42),_xlfn.XMATCH(YEAR(Base!G363),Ratings!$B$1:$L$1))</f>
        <v>BB-</v>
      </c>
      <c r="P383">
        <f>IF(AND(O383&lt;&gt;"BBB-",O383&lt;&gt;"BBB",O383&lt;&gt;"BBB+"),0,1)</f>
        <v>0</v>
      </c>
      <c r="Q383" s="7">
        <f>INDEX('Bonds ANBIMA'!$F:$F,MATCH(Base!$B363,'Bonds ANBIMA'!$A:$A,0))</f>
        <v>2009.6909090909087</v>
      </c>
      <c r="R383" s="21">
        <f>INDEX('Bonds ANBIMA'!$H:$H,MATCH(Base!$B363,'Bonds ANBIMA'!$A:$A,0))</f>
        <v>0.85714285714285721</v>
      </c>
      <c r="S383" s="7">
        <f>INDEX('Debêntures ANBIMA'!$O:$O,MATCH(Base!$B363,'Debêntures ANBIMA'!$A:$A,0))</f>
        <v>523.03090625000004</v>
      </c>
      <c r="T383" s="24">
        <f>INDEX('Debêntures ANBIMA'!$P:$P,MATCH(Base!$B363,'Debêntures ANBIMA'!$A:$A,0))</f>
        <v>0.41570842895983912</v>
      </c>
    </row>
    <row r="384" spans="1:20" x14ac:dyDescent="0.35">
      <c r="A384">
        <f>YEAR(B384)</f>
        <v>2019</v>
      </c>
      <c r="B384" s="12">
        <f>DATE(YEAR(G384),MONTH(G384),DAY(1))</f>
        <v>43709</v>
      </c>
      <c r="C384">
        <f>IF(E384&lt;&gt;E383,C383+1,C383)</f>
        <v>38</v>
      </c>
      <c r="D384" s="6" t="s">
        <v>163</v>
      </c>
      <c r="E384" s="6" t="s">
        <v>162</v>
      </c>
      <c r="F384" s="6" t="s">
        <v>233</v>
      </c>
      <c r="G384" s="1">
        <v>43726</v>
      </c>
      <c r="H384" s="1" t="s">
        <v>171</v>
      </c>
      <c r="I384" s="7">
        <f>IF(H384-G384&gt;(365*5),1,0)</f>
        <v>1</v>
      </c>
      <c r="J384" s="22">
        <v>1</v>
      </c>
      <c r="K384" s="9">
        <f>IF($N384="USD",INDEX('Dólar Spot'!$C:$C,MATCH(Base!$G364,'Dólar Spot'!$A:$A,0)),"")</f>
        <v>1.7254</v>
      </c>
      <c r="L384" s="8">
        <v>4115281000</v>
      </c>
      <c r="M384" s="7">
        <f>IF(N384="USD",L384*K384/1000000,L384/1000000)</f>
        <v>7100.5058374000009</v>
      </c>
      <c r="N384" s="6" t="s">
        <v>16</v>
      </c>
      <c r="O384" s="9" t="str" cm="1">
        <f t="array" ref="O384">INDEX(Ratings!$B$2:$L$42,_xlfn.XMATCH(Base!E364,Ratings!$A$2:$A$42),_xlfn.XMATCH(YEAR(Base!G364),Ratings!$B$1:$L$1))</f>
        <v>BBB</v>
      </c>
      <c r="P384">
        <f>IF(AND(O384&lt;&gt;"BBB-",O384&lt;&gt;"BBB",O384&lt;&gt;"BBB+"),0,1)</f>
        <v>1</v>
      </c>
      <c r="Q384" s="7">
        <f>INDEX('Bonds ANBIMA'!$F:$F,MATCH(Base!$B364,'Bonds ANBIMA'!$A:$A,0))</f>
        <v>1382.0987169274538</v>
      </c>
      <c r="R384" s="21">
        <f>INDEX('Bonds ANBIMA'!$H:$H,MATCH(Base!$B364,'Bonds ANBIMA'!$A:$A,0))</f>
        <v>0.81690140845070425</v>
      </c>
      <c r="S384" s="7">
        <f>INDEX('Debêntures ANBIMA'!$O:$O,MATCH(Base!$B364,'Debêntures ANBIMA'!$A:$A,0))</f>
        <v>216.71153846153845</v>
      </c>
      <c r="T384" s="24">
        <f>INDEX('Debêntures ANBIMA'!$P:$P,MATCH(Base!$B364,'Debêntures ANBIMA'!$A:$A,0))</f>
        <v>0.91569793238086783</v>
      </c>
    </row>
    <row r="385" spans="1:20" x14ac:dyDescent="0.35">
      <c r="A385">
        <f>YEAR(B385)</f>
        <v>2017</v>
      </c>
      <c r="B385" s="12">
        <f>DATE(YEAR(G385),MONTH(G385),DAY(1))</f>
        <v>42979</v>
      </c>
      <c r="C385">
        <f>IF(E385&lt;&gt;E384,C384+1,C384)</f>
        <v>38</v>
      </c>
      <c r="D385" s="6" t="s">
        <v>163</v>
      </c>
      <c r="E385" s="6" t="s">
        <v>162</v>
      </c>
      <c r="F385" s="6" t="s">
        <v>233</v>
      </c>
      <c r="G385" s="1">
        <v>43005</v>
      </c>
      <c r="H385" s="1" t="s">
        <v>173</v>
      </c>
      <c r="I385" s="7">
        <f>IF(H385-G385&gt;(365*5),1,0)</f>
        <v>1</v>
      </c>
      <c r="J385" s="22">
        <v>1</v>
      </c>
      <c r="K385" s="9">
        <f>IF($N385="USD",INDEX('Dólar Spot'!$C:$C,MATCH(Base!$G365,'Dólar Spot'!$A:$A,0)),"")</f>
        <v>2.0131999999999999</v>
      </c>
      <c r="L385" s="8">
        <v>3759866000</v>
      </c>
      <c r="M385" s="7">
        <f>IF(N385="USD",L385*K385/1000000,L385/1000000)</f>
        <v>7569.3622311999998</v>
      </c>
      <c r="N385" s="6" t="s">
        <v>16</v>
      </c>
      <c r="O385" s="9" t="str" cm="1">
        <f t="array" ref="O385">INDEX(Ratings!$B$2:$L$42,_xlfn.XMATCH(Base!E365,Ratings!$A$2:$A$42),_xlfn.XMATCH(YEAR(Base!G365),Ratings!$B$1:$L$1))</f>
        <v>BBB-</v>
      </c>
      <c r="P385">
        <f>IF(AND(O385&lt;&gt;"BBB-",O385&lt;&gt;"BBB",O385&lt;&gt;"BBB+"),0,1)</f>
        <v>1</v>
      </c>
      <c r="Q385" s="7">
        <f>INDEX('Bonds ANBIMA'!$F:$F,MATCH(Base!$B365,'Bonds ANBIMA'!$A:$A,0))</f>
        <v>2100.545443333333</v>
      </c>
      <c r="R385" s="21">
        <f>INDEX('Bonds ANBIMA'!$H:$H,MATCH(Base!$B365,'Bonds ANBIMA'!$A:$A,0))</f>
        <v>0.61224489795918369</v>
      </c>
      <c r="S385" s="7">
        <f>INDEX('Debêntures ANBIMA'!$O:$O,MATCH(Base!$B365,'Debêntures ANBIMA'!$A:$A,0))</f>
        <v>347.1515</v>
      </c>
      <c r="T385" s="24">
        <f>INDEX('Debêntures ANBIMA'!$P:$P,MATCH(Base!$B365,'Debêntures ANBIMA'!$A:$A,0))</f>
        <v>0.89276058422825388</v>
      </c>
    </row>
    <row r="386" spans="1:20" x14ac:dyDescent="0.35">
      <c r="A386">
        <f>YEAR(B386)</f>
        <v>2013</v>
      </c>
      <c r="B386" s="12">
        <f>DATE(YEAR(G386),MONTH(G386),DAY(1))</f>
        <v>41395</v>
      </c>
      <c r="C386">
        <f>IF(E386&lt;&gt;E385,C385+1,C385)</f>
        <v>38</v>
      </c>
      <c r="D386" s="6" t="s">
        <v>163</v>
      </c>
      <c r="E386" s="6" t="s">
        <v>162</v>
      </c>
      <c r="F386" s="6" t="s">
        <v>233</v>
      </c>
      <c r="G386" s="1">
        <v>41414</v>
      </c>
      <c r="H386" s="1" t="s">
        <v>178</v>
      </c>
      <c r="I386" s="7">
        <f>IF(H386-G386&gt;(365*5),1,0)</f>
        <v>1</v>
      </c>
      <c r="J386" s="22">
        <v>1</v>
      </c>
      <c r="K386" s="9">
        <f>IF($N386="USD",INDEX('Dólar Spot'!$C:$C,MATCH(Base!$G366,'Dólar Spot'!$A:$A,0)),"")</f>
        <v>1.5991</v>
      </c>
      <c r="L386" s="8">
        <v>3500000000</v>
      </c>
      <c r="M386" s="7">
        <f>IF(N386="USD",L386*K386/1000000,L386/1000000)</f>
        <v>5596.85</v>
      </c>
      <c r="N386" s="6" t="s">
        <v>16</v>
      </c>
      <c r="O386" s="9" t="str" cm="1">
        <f t="array" ref="O386">INDEX(Ratings!$B$2:$L$42,_xlfn.XMATCH(Base!E366,Ratings!$A$2:$A$42),_xlfn.XMATCH(YEAR(Base!G366),Ratings!$B$1:$L$1))</f>
        <v>BBB</v>
      </c>
      <c r="P386">
        <f>IF(AND(O386&lt;&gt;"BBB-",O386&lt;&gt;"BBB",O386&lt;&gt;"BBB+"),0,1)</f>
        <v>1</v>
      </c>
      <c r="Q386" s="7">
        <f>INDEX('Bonds ANBIMA'!$F:$F,MATCH(Base!$B366,'Bonds ANBIMA'!$A:$A,0))</f>
        <v>1417.3105364548492</v>
      </c>
      <c r="R386" s="21">
        <f>INDEX('Bonds ANBIMA'!$H:$H,MATCH(Base!$B366,'Bonds ANBIMA'!$A:$A,0))</f>
        <v>0.5862068965517242</v>
      </c>
      <c r="S386" s="7">
        <f>INDEX('Debêntures ANBIMA'!$O:$O,MATCH(Base!$B366,'Debêntures ANBIMA'!$A:$A,0))</f>
        <v>115.65263157894738</v>
      </c>
      <c r="T386" s="24">
        <f>INDEX('Debêntures ANBIMA'!$P:$P,MATCH(Base!$B366,'Debêntures ANBIMA'!$A:$A,0))</f>
        <v>0.85047783744425232</v>
      </c>
    </row>
    <row r="387" spans="1:20" x14ac:dyDescent="0.35">
      <c r="A387">
        <f>YEAR(B387)</f>
        <v>2011</v>
      </c>
      <c r="B387" s="12">
        <f>DATE(YEAR(G387),MONTH(G387),DAY(1))</f>
        <v>40544</v>
      </c>
      <c r="C387">
        <f>IF(E387&lt;&gt;E386,C386+1,C386)</f>
        <v>38</v>
      </c>
      <c r="D387" s="6" t="s">
        <v>163</v>
      </c>
      <c r="E387" s="6" t="s">
        <v>162</v>
      </c>
      <c r="F387" s="6" t="s">
        <v>233</v>
      </c>
      <c r="G387" s="1">
        <v>40570</v>
      </c>
      <c r="H387" s="1" t="s">
        <v>179</v>
      </c>
      <c r="I387" s="7">
        <f>IF(H387-G387&gt;(365*5),1,0)</f>
        <v>1</v>
      </c>
      <c r="J387" s="22">
        <v>1</v>
      </c>
      <c r="K387" s="9">
        <f>IF($N387="USD",INDEX('Dólar Spot'!$C:$C,MATCH(Base!$G367,'Dólar Spot'!$A:$A,0)),"")</f>
        <v>1.8626</v>
      </c>
      <c r="L387" s="8">
        <v>2500000000</v>
      </c>
      <c r="M387" s="7">
        <f>IF(N387="USD",L387*K387/1000000,L387/1000000)</f>
        <v>4656.5</v>
      </c>
      <c r="N387" s="6" t="s">
        <v>16</v>
      </c>
      <c r="O387" s="9" t="str" cm="1">
        <f t="array" ref="O387">INDEX(Ratings!$B$2:$L$42,_xlfn.XMATCH(Base!E367,Ratings!$A$2:$A$42),_xlfn.XMATCH(YEAR(Base!G367),Ratings!$B$1:$L$1))</f>
        <v>BBB</v>
      </c>
      <c r="P387">
        <f>IF(AND(O387&lt;&gt;"BBB-",O387&lt;&gt;"BBB",O387&lt;&gt;"BBB+"),0,1)</f>
        <v>1</v>
      </c>
      <c r="Q387" s="7">
        <f>INDEX('Bonds ANBIMA'!$F:$F,MATCH(Base!$B367,'Bonds ANBIMA'!$A:$A,0))</f>
        <v>1628.7511256410257</v>
      </c>
      <c r="R387" s="21">
        <f>INDEX('Bonds ANBIMA'!$H:$H,MATCH(Base!$B367,'Bonds ANBIMA'!$A:$A,0))</f>
        <v>0.5862068965517242</v>
      </c>
      <c r="S387" s="7">
        <f>INDEX('Debêntures ANBIMA'!$O:$O,MATCH(Base!$B367,'Debêntures ANBIMA'!$A:$A,0))</f>
        <v>365.56824120665999</v>
      </c>
      <c r="T387" s="24">
        <f>INDEX('Debêntures ANBIMA'!$P:$P,MATCH(Base!$B367,'Debêntures ANBIMA'!$A:$A,0))</f>
        <v>0.87989059175080986</v>
      </c>
    </row>
    <row r="388" spans="1:20" x14ac:dyDescent="0.35">
      <c r="A388">
        <f>YEAR(B388)</f>
        <v>2017</v>
      </c>
      <c r="B388" s="12">
        <f>DATE(YEAR(G388),MONTH(G388),DAY(1))</f>
        <v>42736</v>
      </c>
      <c r="C388">
        <f>IF(E388&lt;&gt;E387,C387+1,C387)</f>
        <v>38</v>
      </c>
      <c r="D388" s="6" t="s">
        <v>163</v>
      </c>
      <c r="E388" s="6" t="s">
        <v>162</v>
      </c>
      <c r="F388" s="6" t="s">
        <v>233</v>
      </c>
      <c r="G388" s="1">
        <v>42752</v>
      </c>
      <c r="H388" s="1" t="s">
        <v>180</v>
      </c>
      <c r="I388" s="7">
        <f>IF(H388-G388&gt;(365*5),1,0)</f>
        <v>1</v>
      </c>
      <c r="J388" s="22">
        <v>1</v>
      </c>
      <c r="K388" s="9">
        <f>IF($N388="USD",INDEX('Dólar Spot'!$C:$C,MATCH(Base!$G368,'Dólar Spot'!$A:$A,0)),"")</f>
        <v>1.8</v>
      </c>
      <c r="L388" s="8">
        <v>2000000000</v>
      </c>
      <c r="M388" s="7">
        <f>IF(N388="USD",L388*K388/1000000,L388/1000000)</f>
        <v>3600</v>
      </c>
      <c r="N388" s="6" t="s">
        <v>16</v>
      </c>
      <c r="O388" s="9" t="str" cm="1">
        <f t="array" ref="O388">INDEX(Ratings!$B$2:$L$42,_xlfn.XMATCH(Base!E368,Ratings!$A$2:$A$42),_xlfn.XMATCH(YEAR(Base!G368),Ratings!$B$1:$L$1))</f>
        <v>BBB</v>
      </c>
      <c r="P388">
        <f>IF(AND(O388&lt;&gt;"BBB-",O388&lt;&gt;"BBB",O388&lt;&gt;"BBB+"),0,1)</f>
        <v>1</v>
      </c>
      <c r="Q388" s="7">
        <f>INDEX('Bonds ANBIMA'!$F:$F,MATCH(Base!$B368,'Bonds ANBIMA'!$A:$A,0))</f>
        <v>1444.0059189189192</v>
      </c>
      <c r="R388" s="21">
        <f>INDEX('Bonds ANBIMA'!$H:$H,MATCH(Base!$B368,'Bonds ANBIMA'!$A:$A,0))</f>
        <v>0.81690140845070425</v>
      </c>
      <c r="S388" s="7">
        <f>INDEX('Debêntures ANBIMA'!$O:$O,MATCH(Base!$B368,'Debêntures ANBIMA'!$A:$A,0))</f>
        <v>289.86818181818182</v>
      </c>
      <c r="T388" s="24">
        <f>INDEX('Debêntures ANBIMA'!$P:$P,MATCH(Base!$B368,'Debêntures ANBIMA'!$A:$A,0))</f>
        <v>0.52744978124852993</v>
      </c>
    </row>
    <row r="389" spans="1:20" x14ac:dyDescent="0.35">
      <c r="A389">
        <f>YEAR(B389)</f>
        <v>2016</v>
      </c>
      <c r="B389" s="12">
        <f>DATE(YEAR(G389),MONTH(G389),DAY(1))</f>
        <v>42491</v>
      </c>
      <c r="C389">
        <f>IF(E389&lt;&gt;E388,C388+1,C388)</f>
        <v>38</v>
      </c>
      <c r="D389" s="6" t="s">
        <v>163</v>
      </c>
      <c r="E389" s="6" t="s">
        <v>162</v>
      </c>
      <c r="F389" s="6" t="s">
        <v>233</v>
      </c>
      <c r="G389" s="1">
        <v>42513</v>
      </c>
      <c r="H389" s="1" t="s">
        <v>181</v>
      </c>
      <c r="I389" s="7">
        <f>IF(H389-G389&gt;(365*5),1,0)</f>
        <v>1</v>
      </c>
      <c r="J389" s="22">
        <v>1</v>
      </c>
      <c r="K389" s="9">
        <f>IF($N389="USD",INDEX('Dólar Spot'!$C:$C,MATCH(Base!$G369,'Dólar Spot'!$A:$A,0)),"")</f>
        <v>1.8</v>
      </c>
      <c r="L389" s="8">
        <v>5000000000</v>
      </c>
      <c r="M389" s="7">
        <f>IF(N389="USD",L389*K389/1000000,L389/1000000)</f>
        <v>9000</v>
      </c>
      <c r="N389" s="6" t="s">
        <v>16</v>
      </c>
      <c r="O389" s="9" t="str" cm="1">
        <f t="array" ref="O389">INDEX(Ratings!$B$2:$L$42,_xlfn.XMATCH(Base!E369,Ratings!$A$2:$A$42),_xlfn.XMATCH(YEAR(Base!G369),Ratings!$B$1:$L$1))</f>
        <v>BBB</v>
      </c>
      <c r="P389">
        <f>IF(AND(O389&lt;&gt;"BBB-",O389&lt;&gt;"BBB",O389&lt;&gt;"BBB+"),0,1)</f>
        <v>1</v>
      </c>
      <c r="Q389" s="7">
        <f>INDEX('Bonds ANBIMA'!$F:$F,MATCH(Base!$B369,'Bonds ANBIMA'!$A:$A,0))</f>
        <v>1444.0059189189192</v>
      </c>
      <c r="R389" s="21">
        <f>INDEX('Bonds ANBIMA'!$H:$H,MATCH(Base!$B369,'Bonds ANBIMA'!$A:$A,0))</f>
        <v>0.81690140845070425</v>
      </c>
      <c r="S389" s="7">
        <f>INDEX('Debêntures ANBIMA'!$O:$O,MATCH(Base!$B369,'Debêntures ANBIMA'!$A:$A,0))</f>
        <v>289.86818181818182</v>
      </c>
      <c r="T389" s="24">
        <f>INDEX('Debêntures ANBIMA'!$P:$P,MATCH(Base!$B369,'Debêntures ANBIMA'!$A:$A,0))</f>
        <v>0.52744978124852993</v>
      </c>
    </row>
    <row r="390" spans="1:20" x14ac:dyDescent="0.35">
      <c r="A390">
        <f>YEAR(B390)</f>
        <v>2012</v>
      </c>
      <c r="B390" s="12">
        <f>DATE(YEAR(G390),MONTH(G390),DAY(1))</f>
        <v>40940</v>
      </c>
      <c r="C390">
        <f>IF(E390&lt;&gt;E389,C389+1,C389)</f>
        <v>38</v>
      </c>
      <c r="D390" s="6" t="s">
        <v>163</v>
      </c>
      <c r="E390" s="6" t="s">
        <v>162</v>
      </c>
      <c r="F390" s="6" t="s">
        <v>233</v>
      </c>
      <c r="G390" s="1">
        <v>40945</v>
      </c>
      <c r="H390" s="1" t="s">
        <v>182</v>
      </c>
      <c r="I390" s="7">
        <f>IF(H390-G390&gt;(365*5),1,0)</f>
        <v>1</v>
      </c>
      <c r="J390" s="22">
        <v>1</v>
      </c>
      <c r="K390" s="9">
        <f>IF($N390="USD",INDEX('Dólar Spot'!$C:$C,MATCH(Base!$G370,'Dólar Spot'!$A:$A,0)),"")</f>
        <v>3.2349000000000001</v>
      </c>
      <c r="L390" s="8">
        <v>1750000000</v>
      </c>
      <c r="M390" s="7">
        <f>IF(N390="USD",L390*K390/1000000,L390/1000000)</f>
        <v>5661.0749999999998</v>
      </c>
      <c r="N390" s="6" t="s">
        <v>16</v>
      </c>
      <c r="O390" s="9" t="str" cm="1">
        <f t="array" ref="O390">INDEX(Ratings!$B$2:$L$42,_xlfn.XMATCH(Base!E370,Ratings!$A$2:$A$42),_xlfn.XMATCH(YEAR(Base!G370),Ratings!$B$1:$L$1))</f>
        <v>D</v>
      </c>
      <c r="P390">
        <f>IF(AND(O390&lt;&gt;"BBB-",O390&lt;&gt;"BBB",O390&lt;&gt;"BBB+"),0,1)</f>
        <v>0</v>
      </c>
      <c r="Q390" s="7">
        <f>INDEX('Bonds ANBIMA'!$F:$F,MATCH(Base!$B370,'Bonds ANBIMA'!$A:$A,0))</f>
        <v>2689.9516111111116</v>
      </c>
      <c r="R390" s="21">
        <f>INDEX('Bonds ANBIMA'!$H:$H,MATCH(Base!$B370,'Bonds ANBIMA'!$A:$A,0))</f>
        <v>0.75</v>
      </c>
      <c r="S390" s="7">
        <f>INDEX('Debêntures ANBIMA'!$O:$O,MATCH(Base!$B370,'Debêntures ANBIMA'!$A:$A,0))</f>
        <v>671.78941666666663</v>
      </c>
      <c r="T390" s="24">
        <f>INDEX('Debêntures ANBIMA'!$P:$P,MATCH(Base!$B370,'Debêntures ANBIMA'!$A:$A,0))</f>
        <v>0.77734496969042943</v>
      </c>
    </row>
    <row r="391" spans="1:20" x14ac:dyDescent="0.35">
      <c r="A391">
        <f>YEAR(B391)</f>
        <v>2014</v>
      </c>
      <c r="B391" s="12">
        <f>DATE(YEAR(G391),MONTH(G391),DAY(1))</f>
        <v>41699</v>
      </c>
      <c r="C391">
        <f>IF(E391&lt;&gt;E390,C390+1,C390)</f>
        <v>38</v>
      </c>
      <c r="D391" s="6" t="s">
        <v>163</v>
      </c>
      <c r="E391" s="6" t="s">
        <v>162</v>
      </c>
      <c r="F391" s="6" t="s">
        <v>233</v>
      </c>
      <c r="G391" s="1">
        <v>41715</v>
      </c>
      <c r="H391" s="1" t="s">
        <v>183</v>
      </c>
      <c r="I391" s="7">
        <f>IF(H391-G391&gt;(365*5),1,0)</f>
        <v>0</v>
      </c>
      <c r="J391" s="22">
        <v>1</v>
      </c>
      <c r="K391" s="9">
        <f>IF($N391="USD",INDEX('Dólar Spot'!$C:$C,MATCH(Base!$G371,'Dólar Spot'!$A:$A,0)),"")</f>
        <v>3.7158000000000002</v>
      </c>
      <c r="L391" s="8">
        <v>1600000000</v>
      </c>
      <c r="M391" s="7">
        <f>IF(N391="USD",L391*K391/1000000,L391/1000000)</f>
        <v>5945.28</v>
      </c>
      <c r="N391" s="6" t="s">
        <v>16</v>
      </c>
      <c r="O391" s="9" t="str" cm="1">
        <f t="array" ref="O391">INDEX(Ratings!$B$2:$L$42,_xlfn.XMATCH(Base!E371,Ratings!$A$2:$A$42),_xlfn.XMATCH(YEAR(Base!G371),Ratings!$B$1:$L$1))</f>
        <v>D</v>
      </c>
      <c r="P391">
        <f>IF(AND(O391&lt;&gt;"BBB-",O391&lt;&gt;"BBB",O391&lt;&gt;"BBB+"),0,1)</f>
        <v>0</v>
      </c>
      <c r="Q391" s="7">
        <f>INDEX('Bonds ANBIMA'!$F:$F,MATCH(Base!$B371,'Bonds ANBIMA'!$A:$A,0))</f>
        <v>1914.0681818181818</v>
      </c>
      <c r="R391" s="21">
        <f>INDEX('Bonds ANBIMA'!$H:$H,MATCH(Base!$B371,'Bonds ANBIMA'!$A:$A,0))</f>
        <v>0.73699999999999999</v>
      </c>
      <c r="S391" s="7">
        <f>INDEX('Debêntures ANBIMA'!$O:$O,MATCH(Base!$B371,'Debêntures ANBIMA'!$A:$A,0))</f>
        <v>260.23234615384615</v>
      </c>
      <c r="T391" s="24">
        <f>INDEX('Debêntures ANBIMA'!$P:$P,MATCH(Base!$B371,'Debêntures ANBIMA'!$A:$A,0))</f>
        <v>0.70197854754297362</v>
      </c>
    </row>
    <row r="392" spans="1:20" x14ac:dyDescent="0.35">
      <c r="A392">
        <f>YEAR(B392)</f>
        <v>2011</v>
      </c>
      <c r="B392" s="12">
        <f>DATE(YEAR(G392),MONTH(G392),DAY(1))</f>
        <v>40544</v>
      </c>
      <c r="C392">
        <f>IF(E392&lt;&gt;E391,C391+1,C391)</f>
        <v>38</v>
      </c>
      <c r="D392" s="6" t="s">
        <v>163</v>
      </c>
      <c r="E392" s="6" t="s">
        <v>162</v>
      </c>
      <c r="F392" s="6" t="s">
        <v>233</v>
      </c>
      <c r="G392" s="1">
        <v>40570</v>
      </c>
      <c r="H392" s="1" t="s">
        <v>184</v>
      </c>
      <c r="I392" s="7">
        <f>IF(H392-G392&gt;(365*5),1,0)</f>
        <v>1</v>
      </c>
      <c r="J392" s="22">
        <v>1</v>
      </c>
      <c r="K392" s="9">
        <f>IF($N392="USD",INDEX('Dólar Spot'!$C:$C,MATCH(Base!$G372,'Dólar Spot'!$A:$A,0)),"")</f>
        <v>5.0510000000000002</v>
      </c>
      <c r="L392" s="8">
        <v>2500000000</v>
      </c>
      <c r="M392" s="7">
        <f>IF(N392="USD",L392*K392/1000000,L392/1000000)</f>
        <v>12627.5</v>
      </c>
      <c r="N392" s="6" t="s">
        <v>16</v>
      </c>
      <c r="O392" s="9" t="str" cm="1">
        <f t="array" ref="O392">INDEX(Ratings!$B$2:$L$42,_xlfn.XMATCH(Base!E372,Ratings!$A$2:$A$42),_xlfn.XMATCH(YEAR(Base!G372),Ratings!$B$1:$L$1))</f>
        <v>BB-</v>
      </c>
      <c r="P392">
        <f>IF(AND(O392&lt;&gt;"BBB-",O392&lt;&gt;"BBB",O392&lt;&gt;"BBB+"),0,1)</f>
        <v>0</v>
      </c>
      <c r="Q392" s="7">
        <f>INDEX('Bonds ANBIMA'!$F:$F,MATCH(Base!$B372,'Bonds ANBIMA'!$A:$A,0))</f>
        <v>16886.984523809526</v>
      </c>
      <c r="R392" s="21">
        <f>INDEX('Bonds ANBIMA'!$H:$H,MATCH(Base!$B372,'Bonds ANBIMA'!$A:$A,0))</f>
        <v>0.70588235294117641</v>
      </c>
      <c r="S392" s="7">
        <f>INDEX('Debêntures ANBIMA'!$O:$O,MATCH(Base!$B372,'Debêntures ANBIMA'!$A:$A,0))</f>
        <v>375.80724257500003</v>
      </c>
      <c r="T392" s="24">
        <f>INDEX('Debêntures ANBIMA'!$P:$P,MATCH(Base!$B372,'Debêntures ANBIMA'!$A:$A,0))</f>
        <v>0.80877441343777279</v>
      </c>
    </row>
    <row r="393" spans="1:20" x14ac:dyDescent="0.35">
      <c r="A393">
        <f>YEAR(B393)</f>
        <v>2012</v>
      </c>
      <c r="B393" s="12">
        <f>DATE(YEAR(G393),MONTH(G393),DAY(1))</f>
        <v>40940</v>
      </c>
      <c r="C393">
        <f>IF(E393&lt;&gt;E392,C392+1,C392)</f>
        <v>38</v>
      </c>
      <c r="D393" s="6" t="s">
        <v>163</v>
      </c>
      <c r="E393" s="6" t="s">
        <v>162</v>
      </c>
      <c r="F393" s="6" t="s">
        <v>233</v>
      </c>
      <c r="G393" s="1">
        <v>40945</v>
      </c>
      <c r="H393" s="1" t="s">
        <v>186</v>
      </c>
      <c r="I393" s="7">
        <f>IF(H393-G393&gt;(365*5),1,0)</f>
        <v>0</v>
      </c>
      <c r="J393" s="22">
        <v>1</v>
      </c>
      <c r="K393" s="9">
        <f>IF($N393="USD",INDEX('Dólar Spot'!$C:$C,MATCH(Base!$G373,'Dólar Spot'!$A:$A,0)),"")</f>
        <v>2.3513000000000002</v>
      </c>
      <c r="L393" s="8">
        <v>1250000000</v>
      </c>
      <c r="M393" s="7">
        <f>IF(N393="USD",L393*K393/1000000,L393/1000000)</f>
        <v>2939.125</v>
      </c>
      <c r="N393" s="6" t="s">
        <v>16</v>
      </c>
      <c r="O393" s="9" t="str" cm="1">
        <f t="array" ref="O393">INDEX(Ratings!$B$2:$L$42,_xlfn.XMATCH(Base!E373,Ratings!$A$2:$A$42),_xlfn.XMATCH(YEAR(Base!G373),Ratings!$B$1:$L$1))</f>
        <v>BBB</v>
      </c>
      <c r="P393">
        <f>IF(AND(O393&lt;&gt;"BBB-",O393&lt;&gt;"BBB",O393&lt;&gt;"BBB+"),0,1)</f>
        <v>1</v>
      </c>
      <c r="Q393" s="7">
        <f>INDEX('Bonds ANBIMA'!$F:$F,MATCH(Base!$B373,'Bonds ANBIMA'!$A:$A,0))</f>
        <v>2031.5071925297116</v>
      </c>
      <c r="R393" s="21">
        <f>INDEX('Bonds ANBIMA'!$H:$H,MATCH(Base!$B373,'Bonds ANBIMA'!$A:$A,0))</f>
        <v>0.7592592592592593</v>
      </c>
      <c r="S393" s="7">
        <f>INDEX('Debêntures ANBIMA'!$O:$O,MATCH(Base!$B373,'Debêntures ANBIMA'!$A:$A,0))</f>
        <v>303.8</v>
      </c>
      <c r="T393" s="24">
        <f>INDEX('Debêntures ANBIMA'!$P:$P,MATCH(Base!$B373,'Debêntures ANBIMA'!$A:$A,0))</f>
        <v>0.29953917050691248</v>
      </c>
    </row>
    <row r="394" spans="1:20" x14ac:dyDescent="0.35">
      <c r="A394">
        <f>YEAR(B394)</f>
        <v>2014</v>
      </c>
      <c r="B394" s="12">
        <f>DATE(YEAR(G394),MONTH(G394),DAY(1))</f>
        <v>41699</v>
      </c>
      <c r="C394">
        <f>IF(E394&lt;&gt;E393,C393+1,C393)</f>
        <v>38</v>
      </c>
      <c r="D394" s="6" t="s">
        <v>163</v>
      </c>
      <c r="E394" s="6" t="s">
        <v>162</v>
      </c>
      <c r="F394" s="6" t="s">
        <v>233</v>
      </c>
      <c r="G394" s="1">
        <v>41715</v>
      </c>
      <c r="H394" s="1" t="s">
        <v>185</v>
      </c>
      <c r="I394" s="7">
        <f>IF(H394-G394&gt;(365*5),1,0)</f>
        <v>1</v>
      </c>
      <c r="J394" s="22">
        <v>1</v>
      </c>
      <c r="K394" s="9">
        <f>IF($N394="USD",INDEX('Dólar Spot'!$C:$C,MATCH(Base!$G374,'Dólar Spot'!$A:$A,0)),"")</f>
        <v>5.0635000000000003</v>
      </c>
      <c r="L394" s="8">
        <v>1500000000</v>
      </c>
      <c r="M394" s="7">
        <f>IF(N394="USD",L394*K394/1000000,L394/1000000)</f>
        <v>7595.2500000000009</v>
      </c>
      <c r="N394" s="6" t="s">
        <v>16</v>
      </c>
      <c r="O394" s="9" t="str" cm="1">
        <f t="array" ref="O394">INDEX(Ratings!$B$2:$L$42,_xlfn.XMATCH(Base!E374,Ratings!$A$2:$A$42),_xlfn.XMATCH(YEAR(Base!G374),Ratings!$B$1:$L$1))</f>
        <v>BB-</v>
      </c>
      <c r="P394">
        <f>IF(AND(O394&lt;&gt;"BBB-",O394&lt;&gt;"BBB",O394&lt;&gt;"BBB+"),0,1)</f>
        <v>0</v>
      </c>
      <c r="Q394" s="7">
        <f>INDEX('Bonds ANBIMA'!$F:$F,MATCH(Base!$B374,'Bonds ANBIMA'!$A:$A,0))</f>
        <v>4407.4187499999998</v>
      </c>
      <c r="R394" s="21">
        <f>INDEX('Bonds ANBIMA'!$H:$H,MATCH(Base!$B374,'Bonds ANBIMA'!$A:$A,0))</f>
        <v>0.75</v>
      </c>
      <c r="S394" s="7">
        <f>INDEX('Debêntures ANBIMA'!$O:$O,MATCH(Base!$B374,'Debêntures ANBIMA'!$A:$A,0))</f>
        <v>370.50270588235298</v>
      </c>
      <c r="T394" s="24">
        <f>INDEX('Debêntures ANBIMA'!$P:$P,MATCH(Base!$B374,'Debêntures ANBIMA'!$A:$A,0))</f>
        <v>0.71227947317539486</v>
      </c>
    </row>
    <row r="395" spans="1:20" x14ac:dyDescent="0.35">
      <c r="A395">
        <f>YEAR(B395)</f>
        <v>2014</v>
      </c>
      <c r="B395" s="12">
        <f>DATE(YEAR(G395),MONTH(G395),DAY(1))</f>
        <v>41760</v>
      </c>
      <c r="C395">
        <f>IF(E395&lt;&gt;E394,C394+1,C394)</f>
        <v>38</v>
      </c>
      <c r="D395" s="6" t="s">
        <v>331</v>
      </c>
      <c r="E395" s="6" t="s">
        <v>162</v>
      </c>
      <c r="F395" s="6" t="s">
        <v>346</v>
      </c>
      <c r="G395" s="1">
        <v>41779</v>
      </c>
      <c r="H395" s="1">
        <v>43971</v>
      </c>
      <c r="I395" s="7">
        <f>IF(H395-G395&gt;(365*5),1,0)</f>
        <v>1</v>
      </c>
      <c r="J395" s="22">
        <v>1</v>
      </c>
      <c r="K395" s="9" t="str">
        <f>IF($N395="USD",INDEX('Dólar Spot'!$C:$C,MATCH(Base!$G375,'Dólar Spot'!$A:$A,0)),"")</f>
        <v/>
      </c>
      <c r="L395" s="8">
        <v>800000000</v>
      </c>
      <c r="M395" s="7">
        <f>IF(N395="USD",L395*K395/1000000,L395/1000000)</f>
        <v>800</v>
      </c>
      <c r="N395" s="6" t="s">
        <v>348</v>
      </c>
      <c r="O395" s="9" t="str" cm="1">
        <f t="array" ref="O395">INDEX(Ratings!$B$2:$L$42,_xlfn.XMATCH(Base!E375,Ratings!$A$2:$A$42),_xlfn.XMATCH(YEAR(Base!G375),Ratings!$B$1:$L$1))</f>
        <v>BB</v>
      </c>
      <c r="P395">
        <f>IF(AND(O395&lt;&gt;"BBB-",O395&lt;&gt;"BBB",O395&lt;&gt;"BBB+"),0,1)</f>
        <v>0</v>
      </c>
      <c r="Q395" s="7">
        <f>INDEX('Bonds ANBIMA'!$F:$F,MATCH(Base!$B375,'Bonds ANBIMA'!$A:$A,0))</f>
        <v>5539.7096969696968</v>
      </c>
      <c r="R395" s="21">
        <f>INDEX('Bonds ANBIMA'!$H:$H,MATCH(Base!$B375,'Bonds ANBIMA'!$A:$A,0))</f>
        <v>0.88235294117647056</v>
      </c>
      <c r="S395" s="7">
        <f>INDEX('Debêntures ANBIMA'!$O:$O,MATCH(Base!$B375,'Debêntures ANBIMA'!$A:$A,0))</f>
        <v>217.85526315789474</v>
      </c>
      <c r="T395" s="24">
        <f>INDEX('Debêntures ANBIMA'!$P:$P,MATCH(Base!$B375,'Debêntures ANBIMA'!$A:$A,0))</f>
        <v>0.70273999605755966</v>
      </c>
    </row>
    <row r="396" spans="1:20" x14ac:dyDescent="0.35">
      <c r="A396">
        <f>YEAR(B396)</f>
        <v>2017</v>
      </c>
      <c r="B396" s="12">
        <f>DATE(YEAR(G396),MONTH(G396),DAY(1))</f>
        <v>42948</v>
      </c>
      <c r="C396">
        <f>IF(E396&lt;&gt;E395,C395+1,C395)</f>
        <v>38</v>
      </c>
      <c r="D396" s="6" t="s">
        <v>331</v>
      </c>
      <c r="E396" s="6" t="s">
        <v>162</v>
      </c>
      <c r="F396" s="6" t="s">
        <v>346</v>
      </c>
      <c r="G396" s="1">
        <v>42962</v>
      </c>
      <c r="H396" s="1">
        <v>44788</v>
      </c>
      <c r="I396" s="7">
        <f>IF(H396-G396&gt;(365*5),1,0)</f>
        <v>1</v>
      </c>
      <c r="J396" s="22">
        <v>1</v>
      </c>
      <c r="K396" s="9" t="str">
        <f>IF($N396="USD",INDEX('Dólar Spot'!$C:$C,MATCH(Base!$G376,'Dólar Spot'!$A:$A,0)),"")</f>
        <v/>
      </c>
      <c r="L396" s="8">
        <v>301000000</v>
      </c>
      <c r="M396" s="7">
        <f>IF(N396="USD",L396*K396/1000000,L396/1000000)</f>
        <v>301</v>
      </c>
      <c r="N396" s="6" t="s">
        <v>347</v>
      </c>
      <c r="O396" s="9" t="str" cm="1">
        <f t="array" ref="O396">INDEX(Ratings!$B$2:$L$42,_xlfn.XMATCH(Base!E376,Ratings!$A$2:$A$42),_xlfn.XMATCH(YEAR(Base!G376),Ratings!$B$1:$L$1))</f>
        <v>BB-</v>
      </c>
      <c r="P396">
        <f>IF(AND(O396&lt;&gt;"BBB-",O396&lt;&gt;"BBB",O396&lt;&gt;"BBB+"),0,1)</f>
        <v>0</v>
      </c>
      <c r="Q396" s="7">
        <f>INDEX('Bonds ANBIMA'!$F:$F,MATCH(Base!$B376,'Bonds ANBIMA'!$A:$A,0))</f>
        <v>11537.652631578947</v>
      </c>
      <c r="R396" s="21">
        <f>INDEX('Bonds ANBIMA'!$H:$H,MATCH(Base!$B376,'Bonds ANBIMA'!$A:$A,0))</f>
        <v>0.83333333333333304</v>
      </c>
      <c r="S396" s="7">
        <f>INDEX('Debêntures ANBIMA'!$O:$O,MATCH(Base!$B376,'Debêntures ANBIMA'!$A:$A,0))</f>
        <v>325.702</v>
      </c>
      <c r="T396" s="24">
        <f>INDEX('Debêntures ANBIMA'!$P:$P,MATCH(Base!$B376,'Debêntures ANBIMA'!$A:$A,0))</f>
        <v>0.85199595199929778</v>
      </c>
    </row>
    <row r="397" spans="1:20" x14ac:dyDescent="0.35">
      <c r="A397">
        <f>YEAR(B397)</f>
        <v>2019</v>
      </c>
      <c r="B397" s="12">
        <f>DATE(YEAR(G397),MONTH(G397),DAY(1))</f>
        <v>43466</v>
      </c>
      <c r="C397">
        <f>IF(E397&lt;&gt;E396,C396+1,C396)</f>
        <v>38</v>
      </c>
      <c r="D397" s="6" t="s">
        <v>331</v>
      </c>
      <c r="E397" s="6" t="s">
        <v>162</v>
      </c>
      <c r="F397" s="6" t="s">
        <v>346</v>
      </c>
      <c r="G397" s="1">
        <v>43480</v>
      </c>
      <c r="H397" s="1">
        <v>46037</v>
      </c>
      <c r="I397" s="7">
        <f>IF(H397-G397&gt;(365*5),1,0)</f>
        <v>1</v>
      </c>
      <c r="J397" s="22">
        <v>1</v>
      </c>
      <c r="K397" s="9" t="str">
        <f>IF($N397="USD",INDEX('Dólar Spot'!$C:$C,MATCH(Base!$G377,'Dólar Spot'!$A:$A,0)),"")</f>
        <v/>
      </c>
      <c r="L397" s="8">
        <v>898397000</v>
      </c>
      <c r="M397" s="7">
        <f>IF(N397="USD",L397*K397/1000000,L397/1000000)</f>
        <v>898.39700000000005</v>
      </c>
      <c r="N397" s="6" t="s">
        <v>347</v>
      </c>
      <c r="O397" s="9" t="str" cm="1">
        <f t="array" ref="O397">INDEX(Ratings!$B$2:$L$42,_xlfn.XMATCH(Base!E377,Ratings!$A$2:$A$42),_xlfn.XMATCH(YEAR(Base!G377),Ratings!$B$1:$L$1))</f>
        <v>BBB</v>
      </c>
      <c r="P397">
        <f>IF(AND(O397&lt;&gt;"BBB-",O397&lt;&gt;"BBB",O397&lt;&gt;"BBB+"),0,1)</f>
        <v>1</v>
      </c>
      <c r="Q397" s="7">
        <f>INDEX('Bonds ANBIMA'!$F:$F,MATCH(Base!$B377,'Bonds ANBIMA'!$A:$A,0))</f>
        <v>2031.5071925297116</v>
      </c>
      <c r="R397" s="21">
        <f>INDEX('Bonds ANBIMA'!$H:$H,MATCH(Base!$B377,'Bonds ANBIMA'!$A:$A,0))</f>
        <v>0.7592592592592593</v>
      </c>
      <c r="S397" s="7">
        <f>INDEX('Debêntures ANBIMA'!$O:$O,MATCH(Base!$B377,'Debêntures ANBIMA'!$A:$A,0))</f>
        <v>303.8</v>
      </c>
      <c r="T397" s="24">
        <f>INDEX('Debêntures ANBIMA'!$P:$P,MATCH(Base!$B377,'Debêntures ANBIMA'!$A:$A,0))</f>
        <v>0.29953917050691248</v>
      </c>
    </row>
    <row r="398" spans="1:20" x14ac:dyDescent="0.35">
      <c r="A398">
        <f>YEAR(B398)</f>
        <v>2019</v>
      </c>
      <c r="B398" s="12">
        <f>DATE(YEAR(G398),MONTH(G398),DAY(1))</f>
        <v>43678</v>
      </c>
      <c r="C398">
        <f>IF(E398&lt;&gt;E397,C397+1,C397)</f>
        <v>38</v>
      </c>
      <c r="D398" s="6" t="s">
        <v>331</v>
      </c>
      <c r="E398" s="6" t="s">
        <v>162</v>
      </c>
      <c r="F398" s="6" t="s">
        <v>346</v>
      </c>
      <c r="G398" s="1">
        <v>43692</v>
      </c>
      <c r="H398" s="1">
        <v>47376</v>
      </c>
      <c r="I398" s="7">
        <f>IF(H398-G398&gt;(365*5),1,0)</f>
        <v>1</v>
      </c>
      <c r="J398" s="22">
        <v>1</v>
      </c>
      <c r="K398" s="9" t="str">
        <f>IF($N398="USD",INDEX('Dólar Spot'!$C:$C,MATCH(Base!$G378,'Dólar Spot'!$A:$A,0)),"")</f>
        <v/>
      </c>
      <c r="L398" s="8">
        <v>1529339000</v>
      </c>
      <c r="M398" s="7">
        <f>IF(N398="USD",L398*K398/1000000,L398/1000000)</f>
        <v>1529.3389999999999</v>
      </c>
      <c r="N398" s="6" t="s">
        <v>347</v>
      </c>
      <c r="O398" s="9" t="str" cm="1">
        <f t="array" ref="O398">INDEX(Ratings!$B$2:$L$42,_xlfn.XMATCH(Base!E378,Ratings!$A$2:$A$42),_xlfn.XMATCH(YEAR(Base!G378),Ratings!$B$1:$L$1))</f>
        <v>BB-</v>
      </c>
      <c r="P398">
        <f>IF(AND(O398&lt;&gt;"BBB-",O398&lt;&gt;"BBB",O398&lt;&gt;"BBB+"),0,1)</f>
        <v>0</v>
      </c>
      <c r="Q398" s="7">
        <f>INDEX('Bonds ANBIMA'!$F:$F,MATCH(Base!$B378,'Bonds ANBIMA'!$A:$A,0))</f>
        <v>2689.9516111111116</v>
      </c>
      <c r="R398" s="21">
        <f>INDEX('Bonds ANBIMA'!$H:$H,MATCH(Base!$B378,'Bonds ANBIMA'!$A:$A,0))</f>
        <v>0.75</v>
      </c>
      <c r="S398" s="7">
        <f>INDEX('Debêntures ANBIMA'!$O:$O,MATCH(Base!$B378,'Debêntures ANBIMA'!$A:$A,0))</f>
        <v>671.78941666666663</v>
      </c>
      <c r="T398" s="24">
        <f>INDEX('Debêntures ANBIMA'!$P:$P,MATCH(Base!$B378,'Debêntures ANBIMA'!$A:$A,0))</f>
        <v>0.77734496969042943</v>
      </c>
    </row>
    <row r="399" spans="1:20" x14ac:dyDescent="0.35">
      <c r="A399">
        <f>YEAR(B399)</f>
        <v>2017</v>
      </c>
      <c r="B399" s="12">
        <f>DATE(YEAR(G399),MONTH(G399),DAY(1))</f>
        <v>42948</v>
      </c>
      <c r="C399">
        <f>IF(E399&lt;&gt;E398,C398+1,C398)</f>
        <v>38</v>
      </c>
      <c r="D399" s="6" t="s">
        <v>331</v>
      </c>
      <c r="E399" s="6" t="s">
        <v>162</v>
      </c>
      <c r="F399" s="6" t="s">
        <v>346</v>
      </c>
      <c r="G399" s="1">
        <v>42962</v>
      </c>
      <c r="H399" s="1">
        <v>45519</v>
      </c>
      <c r="I399" s="7">
        <f>IF(H399-G399&gt;(365*5),1,0)</f>
        <v>1</v>
      </c>
      <c r="J399" s="22">
        <v>1</v>
      </c>
      <c r="K399" s="9" t="str">
        <f>IF($N399="USD",INDEX('Dólar Spot'!$C:$C,MATCH(Base!$G379,'Dólar Spot'!$A:$A,0)),"")</f>
        <v/>
      </c>
      <c r="L399" s="8">
        <v>1089892000</v>
      </c>
      <c r="M399" s="7">
        <f>IF(N399="USD",L399*K399/1000000,L399/1000000)</f>
        <v>1089.8920000000001</v>
      </c>
      <c r="N399" s="6" t="s">
        <v>347</v>
      </c>
      <c r="O399" s="9" t="str" cm="1">
        <f t="array" ref="O399">INDEX(Ratings!$B$2:$L$42,_xlfn.XMATCH(Base!E379,Ratings!$A$2:$A$42),_xlfn.XMATCH(YEAR(Base!G379),Ratings!$B$1:$L$1))</f>
        <v>BBB</v>
      </c>
      <c r="P399">
        <f>IF(AND(O399&lt;&gt;"BBB-",O399&lt;&gt;"BBB",O399&lt;&gt;"BBB+"),0,1)</f>
        <v>1</v>
      </c>
      <c r="Q399" s="7">
        <f>INDEX('Bonds ANBIMA'!$F:$F,MATCH(Base!$B379,'Bonds ANBIMA'!$A:$A,0))</f>
        <v>1486.966723076923</v>
      </c>
      <c r="R399" s="21">
        <f>INDEX('Bonds ANBIMA'!$H:$H,MATCH(Base!$B379,'Bonds ANBIMA'!$A:$A,0))</f>
        <v>0.5862068965517242</v>
      </c>
      <c r="S399" s="7">
        <f>INDEX('Debêntures ANBIMA'!$O:$O,MATCH(Base!$B379,'Debêntures ANBIMA'!$A:$A,0))</f>
        <v>249.09230769230768</v>
      </c>
      <c r="T399" s="24">
        <f>INDEX('Debêntures ANBIMA'!$P:$P,MATCH(Base!$B379,'Debêntures ANBIMA'!$A:$A,0))</f>
        <v>0.25631523685998392</v>
      </c>
    </row>
    <row r="400" spans="1:20" x14ac:dyDescent="0.35">
      <c r="A400">
        <f>YEAR(B400)</f>
        <v>2019</v>
      </c>
      <c r="B400" s="12">
        <f>DATE(YEAR(G400),MONTH(G400),DAY(1))</f>
        <v>43466</v>
      </c>
      <c r="C400">
        <f>IF(E400&lt;&gt;E399,C399+1,C399)</f>
        <v>38</v>
      </c>
      <c r="D400" s="6" t="s">
        <v>331</v>
      </c>
      <c r="E400" s="6" t="s">
        <v>162</v>
      </c>
      <c r="F400" s="6" t="s">
        <v>346</v>
      </c>
      <c r="G400" s="1">
        <v>43480</v>
      </c>
      <c r="H400" s="1">
        <v>47133</v>
      </c>
      <c r="I400" s="7">
        <f>IF(H400-G400&gt;(365*5),1,0)</f>
        <v>1</v>
      </c>
      <c r="J400" s="22">
        <v>1</v>
      </c>
      <c r="K400" s="9" t="str">
        <f>IF($N400="USD",INDEX('Dólar Spot'!$C:$C,MATCH(Base!$G380,'Dólar Spot'!$A:$A,0)),"")</f>
        <v/>
      </c>
      <c r="L400" s="8">
        <v>1694089000</v>
      </c>
      <c r="M400" s="7">
        <f>IF(N400="USD",L400*K400/1000000,L400/1000000)</f>
        <v>1694.0889999999999</v>
      </c>
      <c r="N400" s="6" t="s">
        <v>347</v>
      </c>
      <c r="O400" s="9" t="str" cm="1">
        <f t="array" ref="O400">INDEX(Ratings!$B$2:$L$42,_xlfn.XMATCH(Base!E380,Ratings!$A$2:$A$42),_xlfn.XMATCH(YEAR(Base!G380),Ratings!$B$1:$L$1))</f>
        <v>BB</v>
      </c>
      <c r="P400">
        <f>IF(AND(O400&lt;&gt;"BBB-",O400&lt;&gt;"BBB",O400&lt;&gt;"BBB+"),0,1)</f>
        <v>0</v>
      </c>
      <c r="Q400" s="7">
        <f>INDEX('Bonds ANBIMA'!$F:$F,MATCH(Base!$B380,'Bonds ANBIMA'!$A:$A,0))</f>
        <v>23886.12857142857</v>
      </c>
      <c r="R400" s="21">
        <f>INDEX('Bonds ANBIMA'!$H:$H,MATCH(Base!$B380,'Bonds ANBIMA'!$A:$A,0))</f>
        <v>0.77777777777777779</v>
      </c>
      <c r="S400" s="7">
        <f>INDEX('Debêntures ANBIMA'!$O:$O,MATCH(Base!$B380,'Debêntures ANBIMA'!$A:$A,0))</f>
        <v>256.53823809523811</v>
      </c>
      <c r="T400" s="24">
        <f>INDEX('Debêntures ANBIMA'!$P:$P,MATCH(Base!$B380,'Debêntures ANBIMA'!$A:$A,0))</f>
        <v>0.79007198636649623</v>
      </c>
    </row>
    <row r="401" spans="1:20" x14ac:dyDescent="0.35">
      <c r="A401">
        <f>YEAR(B401)</f>
        <v>2019</v>
      </c>
      <c r="B401" s="12">
        <f>DATE(YEAR(G401),MONTH(G401),DAY(1))</f>
        <v>43678</v>
      </c>
      <c r="C401">
        <f>IF(E401&lt;&gt;E400,C400+1,C400)</f>
        <v>38</v>
      </c>
      <c r="D401" s="6" t="s">
        <v>331</v>
      </c>
      <c r="E401" s="6" t="s">
        <v>162</v>
      </c>
      <c r="F401" s="6" t="s">
        <v>346</v>
      </c>
      <c r="G401" s="1">
        <v>43692</v>
      </c>
      <c r="H401" s="1">
        <v>49202</v>
      </c>
      <c r="I401" s="7">
        <f>IF(H401-G401&gt;(365*5),1,0)</f>
        <v>1</v>
      </c>
      <c r="J401" s="22">
        <v>1</v>
      </c>
      <c r="K401" s="9" t="str">
        <f>IF($N401="USD",INDEX('Dólar Spot'!$C:$C,MATCH(Base!$G381,'Dólar Spot'!$A:$A,0)),"")</f>
        <v/>
      </c>
      <c r="L401" s="8">
        <v>1478670000</v>
      </c>
      <c r="M401" s="7">
        <f>IF(N401="USD",L401*K401/1000000,L401/1000000)</f>
        <v>1478.67</v>
      </c>
      <c r="N401" s="6" t="s">
        <v>347</v>
      </c>
      <c r="O401" s="9" t="str" cm="1">
        <f t="array" ref="O401">INDEX(Ratings!$B$2:$L$42,_xlfn.XMATCH(Base!E381,Ratings!$A$2:$A$42),_xlfn.XMATCH(YEAR(Base!G381),Ratings!$B$1:$L$1))</f>
        <v>BB-</v>
      </c>
      <c r="P401">
        <f>IF(AND(O401&lt;&gt;"BBB-",O401&lt;&gt;"BBB",O401&lt;&gt;"BBB+"),0,1)</f>
        <v>0</v>
      </c>
      <c r="Q401" s="7">
        <f>INDEX('Bonds ANBIMA'!$F:$F,MATCH(Base!$B381,'Bonds ANBIMA'!$A:$A,0))</f>
        <v>16886.984523809526</v>
      </c>
      <c r="R401" s="21">
        <f>INDEX('Bonds ANBIMA'!$H:$H,MATCH(Base!$B381,'Bonds ANBIMA'!$A:$A,0))</f>
        <v>0.70588235294117641</v>
      </c>
      <c r="S401" s="7">
        <f>INDEX('Debêntures ANBIMA'!$O:$O,MATCH(Base!$B381,'Debêntures ANBIMA'!$A:$A,0))</f>
        <v>375.80724257500003</v>
      </c>
      <c r="T401" s="24">
        <f>INDEX('Debêntures ANBIMA'!$P:$P,MATCH(Base!$B381,'Debêntures ANBIMA'!$A:$A,0))</f>
        <v>0.80877441343777279</v>
      </c>
    </row>
    <row r="402" spans="1:20" x14ac:dyDescent="0.35">
      <c r="A402">
        <f>YEAR(B402)</f>
        <v>2017</v>
      </c>
      <c r="B402" s="12">
        <f>DATE(YEAR(G402),MONTH(G402),DAY(1))</f>
        <v>42948</v>
      </c>
      <c r="C402">
        <f>IF(E402&lt;&gt;E401,C401+1,C401)</f>
        <v>38</v>
      </c>
      <c r="D402" s="6" t="s">
        <v>331</v>
      </c>
      <c r="E402" s="6" t="s">
        <v>162</v>
      </c>
      <c r="F402" s="6" t="s">
        <v>346</v>
      </c>
      <c r="G402" s="1">
        <v>42962</v>
      </c>
      <c r="H402" s="1">
        <v>44788</v>
      </c>
      <c r="I402" s="7">
        <f>IF(H402-G402&gt;(365*5),1,0)</f>
        <v>1</v>
      </c>
      <c r="J402" s="22">
        <v>1</v>
      </c>
      <c r="K402" s="9" t="str">
        <f>IF($N402="USD",INDEX('Dólar Spot'!$C:$C,MATCH(Base!$G382,'Dólar Spot'!$A:$A,0)),"")</f>
        <v/>
      </c>
      <c r="L402" s="8">
        <v>3346237000</v>
      </c>
      <c r="M402" s="7">
        <f>IF(N402="USD",L402*K402/1000000,L402/1000000)</f>
        <v>3346.2370000000001</v>
      </c>
      <c r="N402" s="6" t="s">
        <v>348</v>
      </c>
      <c r="O402" s="9" t="str" cm="1">
        <f t="array" ref="O402">INDEX(Ratings!$B$2:$L$42,_xlfn.XMATCH(Base!E382,Ratings!$A$2:$A$42),_xlfn.XMATCH(YEAR(Base!G382),Ratings!$B$1:$L$1))</f>
        <v>BBB</v>
      </c>
      <c r="P402">
        <f>IF(AND(O402&lt;&gt;"BBB-",O402&lt;&gt;"BBB",O402&lt;&gt;"BBB+"),0,1)</f>
        <v>1</v>
      </c>
      <c r="Q402" s="7">
        <f>INDEX('Bonds ANBIMA'!$F:$F,MATCH(Base!$B382,'Bonds ANBIMA'!$A:$A,0))</f>
        <v>2155.6445777777776</v>
      </c>
      <c r="R402" s="21">
        <f>INDEX('Bonds ANBIMA'!$H:$H,MATCH(Base!$B382,'Bonds ANBIMA'!$A:$A,0))</f>
        <v>0.61224489795918369</v>
      </c>
      <c r="S402" s="7">
        <f>INDEX('Debêntures ANBIMA'!$O:$O,MATCH(Base!$B382,'Debêntures ANBIMA'!$A:$A,0))</f>
        <v>246.57692307692307</v>
      </c>
      <c r="T402" s="24">
        <f>INDEX('Debêntures ANBIMA'!$P:$P,MATCH(Base!$B382,'Debêntures ANBIMA'!$A:$A,0))</f>
        <v>0.40960848541569173</v>
      </c>
    </row>
    <row r="403" spans="1:20" x14ac:dyDescent="0.35">
      <c r="A403">
        <f>YEAR(B403)</f>
        <v>2019</v>
      </c>
      <c r="B403" s="12">
        <f>DATE(YEAR(G403),MONTH(G403),DAY(1))</f>
        <v>43466</v>
      </c>
      <c r="C403">
        <f>IF(E403&lt;&gt;E402,C402+1,C402)</f>
        <v>38</v>
      </c>
      <c r="D403" s="6" t="s">
        <v>331</v>
      </c>
      <c r="E403" s="6" t="s">
        <v>162</v>
      </c>
      <c r="F403" s="6" t="s">
        <v>346</v>
      </c>
      <c r="G403" s="1">
        <v>43480</v>
      </c>
      <c r="H403" s="1">
        <v>46037</v>
      </c>
      <c r="I403" s="7">
        <f>IF(H403-G403&gt;(365*5),1,0)</f>
        <v>1</v>
      </c>
      <c r="J403" s="22">
        <v>1</v>
      </c>
      <c r="K403" s="9" t="str">
        <f>IF($N403="USD",INDEX('Dólar Spot'!$C:$C,MATCH(Base!$G383,'Dólar Spot'!$A:$A,0)),"")</f>
        <v/>
      </c>
      <c r="L403" s="8">
        <v>1007514000</v>
      </c>
      <c r="M403" s="7">
        <f>IF(N403="USD",L403*K403/1000000,L403/1000000)</f>
        <v>1007.514</v>
      </c>
      <c r="N403" s="6" t="s">
        <v>348</v>
      </c>
      <c r="O403" s="9" t="str" cm="1">
        <f t="array" ref="O403">INDEX(Ratings!$B$2:$L$42,_xlfn.XMATCH(Base!E383,Ratings!$A$2:$A$42),_xlfn.XMATCH(YEAR(Base!G383),Ratings!$B$1:$L$1))</f>
        <v>BB</v>
      </c>
      <c r="P403">
        <f>IF(AND(O403&lt;&gt;"BBB-",O403&lt;&gt;"BBB",O403&lt;&gt;"BBB+"),0,1)</f>
        <v>0</v>
      </c>
      <c r="Q403" s="7">
        <f>INDEX('Bonds ANBIMA'!$F:$F,MATCH(Base!$B383,'Bonds ANBIMA'!$A:$A,0))</f>
        <v>2664.0614999999998</v>
      </c>
      <c r="R403" s="21">
        <f>INDEX('Bonds ANBIMA'!$H:$H,MATCH(Base!$B383,'Bonds ANBIMA'!$A:$A,0))</f>
        <v>0.91666666666666663</v>
      </c>
      <c r="S403" s="7">
        <f>INDEX('Debêntures ANBIMA'!$O:$O,MATCH(Base!$B383,'Debêntures ANBIMA'!$A:$A,0))</f>
        <v>205.69069620833338</v>
      </c>
      <c r="T403" s="24">
        <f>INDEX('Debêntures ANBIMA'!$P:$P,MATCH(Base!$B383,'Debêntures ANBIMA'!$A:$A,0))</f>
        <v>0.45742910467193804</v>
      </c>
    </row>
    <row r="404" spans="1:20" x14ac:dyDescent="0.35">
      <c r="A404">
        <f>YEAR(B404)</f>
        <v>2017</v>
      </c>
      <c r="B404" s="12">
        <f>DATE(YEAR(G404),MONTH(G404),DAY(1))</f>
        <v>42948</v>
      </c>
      <c r="C404">
        <f>IF(E404&lt;&gt;E403,C403+1,C403)</f>
        <v>38</v>
      </c>
      <c r="D404" s="6" t="s">
        <v>331</v>
      </c>
      <c r="E404" s="6" t="s">
        <v>162</v>
      </c>
      <c r="F404" s="6" t="s">
        <v>346</v>
      </c>
      <c r="G404" s="1">
        <v>42962</v>
      </c>
      <c r="H404" s="1">
        <v>45519</v>
      </c>
      <c r="I404" s="7">
        <f>IF(H404-G404&gt;(365*5),1,0)</f>
        <v>1</v>
      </c>
      <c r="J404" s="22">
        <v>1</v>
      </c>
      <c r="K404" s="9" t="str">
        <f>IF($N404="USD",INDEX('Dólar Spot'!$C:$C,MATCH(Base!$G384,'Dólar Spot'!$A:$A,0)),"")</f>
        <v/>
      </c>
      <c r="L404" s="8">
        <v>251690000</v>
      </c>
      <c r="M404" s="7">
        <f>IF(N404="USD",L404*K404/1000000,L404/1000000)</f>
        <v>251.69</v>
      </c>
      <c r="N404" s="6" t="s">
        <v>347</v>
      </c>
      <c r="O404" s="9" t="str" cm="1">
        <f t="array" ref="O404">INDEX(Ratings!$B$2:$L$42,_xlfn.XMATCH(Base!E384,Ratings!$A$2:$A$42),_xlfn.XMATCH(YEAR(Base!G384),Ratings!$B$1:$L$1))</f>
        <v>BB-</v>
      </c>
      <c r="P404">
        <f>IF(AND(O404&lt;&gt;"BBB-",O404&lt;&gt;"BBB",O404&lt;&gt;"BBB+"),0,1)</f>
        <v>0</v>
      </c>
      <c r="Q404" s="7">
        <f>INDEX('Bonds ANBIMA'!$F:$F,MATCH(Base!$B384,'Bonds ANBIMA'!$A:$A,0))</f>
        <v>3296.7200000000007</v>
      </c>
      <c r="R404" s="21">
        <f>INDEX('Bonds ANBIMA'!$H:$H,MATCH(Base!$B384,'Bonds ANBIMA'!$A:$A,0))</f>
        <v>0.79166666666666663</v>
      </c>
      <c r="S404" s="7">
        <f>INDEX('Debêntures ANBIMA'!$O:$O,MATCH(Base!$B384,'Debêntures ANBIMA'!$A:$A,0))</f>
        <v>315.42522222222226</v>
      </c>
      <c r="T404" s="24">
        <f>INDEX('Debêntures ANBIMA'!$P:$P,MATCH(Base!$B384,'Debêntures ANBIMA'!$A:$A,0))</f>
        <v>0.63969390756637756</v>
      </c>
    </row>
    <row r="405" spans="1:20" x14ac:dyDescent="0.35">
      <c r="A405">
        <f>YEAR(B405)</f>
        <v>2011</v>
      </c>
      <c r="B405" s="12">
        <f>DATE(YEAR(G405),MONTH(G405),DAY(1))</f>
        <v>40725</v>
      </c>
      <c r="C405">
        <f>IF(E405&lt;&gt;E404,C404+1,C404)</f>
        <v>39</v>
      </c>
      <c r="D405" s="6" t="s">
        <v>188</v>
      </c>
      <c r="E405" s="6" t="s">
        <v>187</v>
      </c>
      <c r="F405" s="6" t="s">
        <v>233</v>
      </c>
      <c r="G405" s="1">
        <v>40751</v>
      </c>
      <c r="H405" s="1" t="s">
        <v>189</v>
      </c>
      <c r="I405" s="7">
        <f>IF(H405-G405&gt;(365*5),1,0)</f>
        <v>1</v>
      </c>
      <c r="J405" s="22">
        <v>1</v>
      </c>
      <c r="K405" s="9">
        <f>IF($N405="USD",INDEX('Dólar Spot'!$C:$C,MATCH(Base!$G385,'Dólar Spot'!$A:$A,0)),"")</f>
        <v>3.1926000000000001</v>
      </c>
      <c r="L405" s="8">
        <v>700000000</v>
      </c>
      <c r="M405" s="7">
        <f>IF(N405="USD",L405*K405/1000000,L405/1000000)</f>
        <v>2234.8200000000002</v>
      </c>
      <c r="N405" s="6" t="s">
        <v>16</v>
      </c>
      <c r="O405" s="9" t="str" cm="1">
        <f t="array" ref="O405">INDEX(Ratings!$B$2:$L$42,_xlfn.XMATCH(Base!E385,Ratings!$A$2:$A$42),_xlfn.XMATCH(YEAR(Base!G385),Ratings!$B$1:$L$1))</f>
        <v>BB</v>
      </c>
      <c r="P405">
        <f>IF(AND(O405&lt;&gt;"BBB-",O405&lt;&gt;"BBB",O405&lt;&gt;"BBB+"),0,1)</f>
        <v>0</v>
      </c>
      <c r="Q405" s="7">
        <f>INDEX('Bonds ANBIMA'!$F:$F,MATCH(Base!$B385,'Bonds ANBIMA'!$A:$A,0))</f>
        <v>2664.0614999999998</v>
      </c>
      <c r="R405" s="21">
        <f>INDEX('Bonds ANBIMA'!$H:$H,MATCH(Base!$B385,'Bonds ANBIMA'!$A:$A,0))</f>
        <v>0.91666666666666663</v>
      </c>
      <c r="S405" s="7">
        <f>INDEX('Debêntures ANBIMA'!$O:$O,MATCH(Base!$B385,'Debêntures ANBIMA'!$A:$A,0))</f>
        <v>205.69069620833338</v>
      </c>
      <c r="T405" s="24">
        <f>INDEX('Debêntures ANBIMA'!$P:$P,MATCH(Base!$B385,'Debêntures ANBIMA'!$A:$A,0))</f>
        <v>0.45742910467193804</v>
      </c>
    </row>
    <row r="406" spans="1:20" x14ac:dyDescent="0.35">
      <c r="A406">
        <f>YEAR(B406)</f>
        <v>2014</v>
      </c>
      <c r="B406" s="12">
        <f>DATE(YEAR(G406),MONTH(G406),DAY(1))</f>
        <v>41944</v>
      </c>
      <c r="C406">
        <f>IF(E406&lt;&gt;E405,C405+1,C405)</f>
        <v>39</v>
      </c>
      <c r="D406" s="6" t="s">
        <v>333</v>
      </c>
      <c r="E406" s="6" t="s">
        <v>187</v>
      </c>
      <c r="F406" s="6" t="s">
        <v>346</v>
      </c>
      <c r="G406" s="1">
        <v>41964</v>
      </c>
      <c r="H406" s="1">
        <v>43060</v>
      </c>
      <c r="I406" s="7">
        <f>IF(H406-G406&gt;(365*5),1,0)</f>
        <v>0</v>
      </c>
      <c r="J406" s="22">
        <v>1</v>
      </c>
      <c r="K406" s="9" t="str">
        <f>IF($N406="USD",INDEX('Dólar Spot'!$C:$C,MATCH(Base!$G387,'Dólar Spot'!$A:$A,0)),"")</f>
        <v/>
      </c>
      <c r="L406" s="8">
        <v>310000000</v>
      </c>
      <c r="M406" s="7">
        <f>IF(N406="USD",L406*K406/1000000,L406/1000000)</f>
        <v>310</v>
      </c>
      <c r="N406" s="6" t="s">
        <v>348</v>
      </c>
      <c r="O406" s="9" t="str" cm="1">
        <f t="array" ref="O406">INDEX(Ratings!$B$2:$L$42,_xlfn.XMATCH(Base!E387,Ratings!$A$2:$A$42),_xlfn.XMATCH(YEAR(Base!G387),Ratings!$B$1:$L$1))</f>
        <v>BBB</v>
      </c>
      <c r="P406">
        <f>IF(AND(O406&lt;&gt;"BBB-",O406&lt;&gt;"BBB",O406&lt;&gt;"BBB+"),0,1)</f>
        <v>1</v>
      </c>
      <c r="Q406" s="7">
        <f>INDEX('Bonds ANBIMA'!$F:$F,MATCH(Base!$B387,'Bonds ANBIMA'!$A:$A,0))</f>
        <v>1486.966723076923</v>
      </c>
      <c r="R406" s="21">
        <f>INDEX('Bonds ANBIMA'!$H:$H,MATCH(Base!$B387,'Bonds ANBIMA'!$A:$A,0))</f>
        <v>0.5862068965517242</v>
      </c>
      <c r="S406" s="7">
        <f>INDEX('Debêntures ANBIMA'!$O:$O,MATCH(Base!$B387,'Debêntures ANBIMA'!$A:$A,0))</f>
        <v>249.09230769230768</v>
      </c>
      <c r="T406" s="24">
        <f>INDEX('Debêntures ANBIMA'!$P:$P,MATCH(Base!$B387,'Debêntures ANBIMA'!$A:$A,0))</f>
        <v>0.25631523685998392</v>
      </c>
    </row>
    <row r="407" spans="1:20" x14ac:dyDescent="0.35">
      <c r="A407">
        <f>YEAR(B407)</f>
        <v>2014</v>
      </c>
      <c r="B407" s="12">
        <f>DATE(YEAR(G407),MONTH(G407),DAY(1))</f>
        <v>41640</v>
      </c>
      <c r="C407">
        <f>IF(E407&lt;&gt;E406,C406+1,C406)</f>
        <v>39</v>
      </c>
      <c r="D407" s="6" t="s">
        <v>334</v>
      </c>
      <c r="E407" s="6" t="s">
        <v>187</v>
      </c>
      <c r="F407" s="6" t="s">
        <v>346</v>
      </c>
      <c r="G407" s="1">
        <v>41646</v>
      </c>
      <c r="H407" s="1">
        <v>45110</v>
      </c>
      <c r="I407" s="7">
        <f>IF(H407-G407&gt;(365*5),1,0)</f>
        <v>1</v>
      </c>
      <c r="J407" s="22">
        <v>1</v>
      </c>
      <c r="K407" s="9" t="str">
        <f>IF($N407="USD",INDEX('Dólar Spot'!$C:$C,MATCH(Base!$G388,'Dólar Spot'!$A:$A,0)),"")</f>
        <v/>
      </c>
      <c r="L407" s="8">
        <v>95500000</v>
      </c>
      <c r="M407" s="7">
        <f>IF(N407="USD",L407*K407/1000000,L407/1000000)</f>
        <v>95.5</v>
      </c>
      <c r="N407" s="6" t="s">
        <v>348</v>
      </c>
      <c r="O407" s="9" t="str" cm="1">
        <f t="array" ref="O407">INDEX(Ratings!$B$2:$L$42,_xlfn.XMATCH(Base!E388,Ratings!$A$2:$A$42),_xlfn.XMATCH(YEAR(Base!G388),Ratings!$B$1:$L$1))</f>
        <v>BB</v>
      </c>
      <c r="P407">
        <f>IF(AND(O407&lt;&gt;"BBB-",O407&lt;&gt;"BBB",O407&lt;&gt;"BBB+"),0,1)</f>
        <v>0</v>
      </c>
      <c r="Q407" s="7">
        <f>INDEX('Bonds ANBIMA'!$F:$F,MATCH(Base!$B388,'Bonds ANBIMA'!$A:$A,0))</f>
        <v>5539.7096969696968</v>
      </c>
      <c r="R407" s="21">
        <f>INDEX('Bonds ANBIMA'!$H:$H,MATCH(Base!$B388,'Bonds ANBIMA'!$A:$A,0))</f>
        <v>0.88235294117647056</v>
      </c>
      <c r="S407" s="7">
        <f>INDEX('Debêntures ANBIMA'!$O:$O,MATCH(Base!$B388,'Debêntures ANBIMA'!$A:$A,0))</f>
        <v>217.85526315789474</v>
      </c>
      <c r="T407" s="24">
        <f>INDEX('Debêntures ANBIMA'!$P:$P,MATCH(Base!$B388,'Debêntures ANBIMA'!$A:$A,0))</f>
        <v>0.70273999605755966</v>
      </c>
    </row>
    <row r="408" spans="1:20" x14ac:dyDescent="0.35">
      <c r="A408">
        <f>YEAR(B408)</f>
        <v>2014</v>
      </c>
      <c r="B408" s="12">
        <f>DATE(YEAR(G408),MONTH(G408),DAY(1))</f>
        <v>41760</v>
      </c>
      <c r="C408">
        <f>IF(E408&lt;&gt;E407,C407+1,C407)</f>
        <v>39</v>
      </c>
      <c r="D408" s="6" t="s">
        <v>334</v>
      </c>
      <c r="E408" s="6" t="s">
        <v>187</v>
      </c>
      <c r="F408" s="6" t="s">
        <v>346</v>
      </c>
      <c r="G408" s="1">
        <v>41789</v>
      </c>
      <c r="H408" s="1">
        <v>43069</v>
      </c>
      <c r="I408" s="7">
        <f>IF(H408-G408&gt;(365*5),1,0)</f>
        <v>0</v>
      </c>
      <c r="J408" s="22">
        <v>1</v>
      </c>
      <c r="K408" s="9" t="str">
        <f>IF($N408="USD",INDEX('Dólar Spot'!$C:$C,MATCH(Base!$G389,'Dólar Spot'!$A:$A,0)),"")</f>
        <v/>
      </c>
      <c r="L408" s="8">
        <v>100000000</v>
      </c>
      <c r="M408" s="7">
        <f>IF(N408="USD",L408*K408/1000000,L408/1000000)</f>
        <v>100</v>
      </c>
      <c r="N408" s="6" t="s">
        <v>348</v>
      </c>
      <c r="O408" s="9" t="str" cm="1">
        <f t="array" ref="O408">INDEX(Ratings!$B$2:$L$42,_xlfn.XMATCH(Base!E389,Ratings!$A$2:$A$42),_xlfn.XMATCH(YEAR(Base!G389),Ratings!$B$1:$L$1))</f>
        <v>BB</v>
      </c>
      <c r="P408">
        <f>IF(AND(O408&lt;&gt;"BBB-",O408&lt;&gt;"BBB",O408&lt;&gt;"BBB+"),0,1)</f>
        <v>0</v>
      </c>
      <c r="Q408" s="7">
        <f>INDEX('Bonds ANBIMA'!$F:$F,MATCH(Base!$B389,'Bonds ANBIMA'!$A:$A,0))</f>
        <v>23886.12857142857</v>
      </c>
      <c r="R408" s="21">
        <f>INDEX('Bonds ANBIMA'!$H:$H,MATCH(Base!$B389,'Bonds ANBIMA'!$A:$A,0))</f>
        <v>0.77777777777777779</v>
      </c>
      <c r="S408" s="7">
        <f>INDEX('Debêntures ANBIMA'!$O:$O,MATCH(Base!$B389,'Debêntures ANBIMA'!$A:$A,0))</f>
        <v>256.53823809523811</v>
      </c>
      <c r="T408" s="24">
        <f>INDEX('Debêntures ANBIMA'!$P:$P,MATCH(Base!$B389,'Debêntures ANBIMA'!$A:$A,0))</f>
        <v>0.79007198636649623</v>
      </c>
    </row>
    <row r="409" spans="1:20" x14ac:dyDescent="0.35">
      <c r="A409">
        <f>YEAR(B409)</f>
        <v>2012</v>
      </c>
      <c r="B409" s="12">
        <f>DATE(YEAR(G409),MONTH(G409),DAY(1))</f>
        <v>41091</v>
      </c>
      <c r="C409">
        <f>IF(E409&lt;&gt;E408,C408+1,C408)</f>
        <v>39</v>
      </c>
      <c r="D409" s="6" t="s">
        <v>334</v>
      </c>
      <c r="E409" s="6" t="s">
        <v>187</v>
      </c>
      <c r="F409" s="6" t="s">
        <v>346</v>
      </c>
      <c r="G409" s="1">
        <v>41095</v>
      </c>
      <c r="H409" s="1">
        <v>45110</v>
      </c>
      <c r="I409" s="7">
        <f>IF(H409-G409&gt;(365*5),1,0)</f>
        <v>1</v>
      </c>
      <c r="J409" s="22">
        <v>1</v>
      </c>
      <c r="K409" s="9" t="str">
        <f>IF($N409="USD",INDEX('Dólar Spot'!$C:$C,MATCH(Base!$G390,'Dólar Spot'!$A:$A,0)),"")</f>
        <v/>
      </c>
      <c r="L409" s="8">
        <v>170000000</v>
      </c>
      <c r="M409" s="7">
        <f>IF(N409="USD",L409*K409/1000000,L409/1000000)</f>
        <v>170</v>
      </c>
      <c r="N409" s="6" t="s">
        <v>348</v>
      </c>
      <c r="O409" s="9" t="str" cm="1">
        <f t="array" ref="O409">INDEX(Ratings!$B$2:$L$42,_xlfn.XMATCH(Base!E390,Ratings!$A$2:$A$42),_xlfn.XMATCH(YEAR(Base!G390),Ratings!$B$1:$L$1))</f>
        <v>BBB</v>
      </c>
      <c r="P409">
        <f>IF(AND(O409&lt;&gt;"BBB-",O409&lt;&gt;"BBB",O409&lt;&gt;"BBB+"),0,1)</f>
        <v>1</v>
      </c>
      <c r="Q409" s="7">
        <f>INDEX('Bonds ANBIMA'!$F:$F,MATCH(Base!$B390,'Bonds ANBIMA'!$A:$A,0))</f>
        <v>1382.0987169274538</v>
      </c>
      <c r="R409" s="21">
        <f>INDEX('Bonds ANBIMA'!$H:$H,MATCH(Base!$B390,'Bonds ANBIMA'!$A:$A,0))</f>
        <v>0.81690140845070425</v>
      </c>
      <c r="S409" s="7">
        <f>INDEX('Debêntures ANBIMA'!$O:$O,MATCH(Base!$B390,'Debêntures ANBIMA'!$A:$A,0))</f>
        <v>216.71153846153845</v>
      </c>
      <c r="T409" s="24">
        <f>INDEX('Debêntures ANBIMA'!$P:$P,MATCH(Base!$B390,'Debêntures ANBIMA'!$A:$A,0))</f>
        <v>0.91569793238086783</v>
      </c>
    </row>
    <row r="410" spans="1:20" x14ac:dyDescent="0.35">
      <c r="A410">
        <f>YEAR(B410)</f>
        <v>2014</v>
      </c>
      <c r="B410" s="12">
        <f>DATE(YEAR(G410),MONTH(G410),DAY(1))</f>
        <v>41640</v>
      </c>
      <c r="C410">
        <f>IF(E410&lt;&gt;E409,C409+1,C409)</f>
        <v>39</v>
      </c>
      <c r="D410" s="6" t="s">
        <v>334</v>
      </c>
      <c r="E410" s="6" t="s">
        <v>187</v>
      </c>
      <c r="F410" s="6" t="s">
        <v>346</v>
      </c>
      <c r="G410" s="1">
        <v>41646</v>
      </c>
      <c r="H410" s="1">
        <v>43472</v>
      </c>
      <c r="I410" s="7">
        <f>IF(H410-G410&gt;(365*5),1,0)</f>
        <v>1</v>
      </c>
      <c r="J410" s="22">
        <v>1</v>
      </c>
      <c r="K410" s="9" t="str">
        <f>IF($N410="USD",INDEX('Dólar Spot'!$C:$C,MATCH(Base!$G391,'Dólar Spot'!$A:$A,0)),"")</f>
        <v/>
      </c>
      <c r="L410" s="8">
        <v>100000000</v>
      </c>
      <c r="M410" s="7">
        <f>IF(N410="USD",L410*K410/1000000,L410/1000000)</f>
        <v>100</v>
      </c>
      <c r="N410" s="6" t="s">
        <v>348</v>
      </c>
      <c r="O410" s="9" t="str" cm="1">
        <f t="array" ref="O410">INDEX(Ratings!$B$2:$L$42,_xlfn.XMATCH(Base!E391,Ratings!$A$2:$A$42),_xlfn.XMATCH(YEAR(Base!G391),Ratings!$B$1:$L$1))</f>
        <v>BBB</v>
      </c>
      <c r="P410">
        <f>IF(AND(O410&lt;&gt;"BBB-",O410&lt;&gt;"BBB",O410&lt;&gt;"BBB+"),0,1)</f>
        <v>1</v>
      </c>
      <c r="Q410" s="7">
        <f>INDEX('Bonds ANBIMA'!$F:$F,MATCH(Base!$B391,'Bonds ANBIMA'!$A:$A,0))</f>
        <v>2031.5071925297116</v>
      </c>
      <c r="R410" s="21">
        <f>INDEX('Bonds ANBIMA'!$H:$H,MATCH(Base!$B391,'Bonds ANBIMA'!$A:$A,0))</f>
        <v>0.7592592592592593</v>
      </c>
      <c r="S410" s="7">
        <f>INDEX('Debêntures ANBIMA'!$O:$O,MATCH(Base!$B391,'Debêntures ANBIMA'!$A:$A,0))</f>
        <v>303.8</v>
      </c>
      <c r="T410" s="24">
        <f>INDEX('Debêntures ANBIMA'!$P:$P,MATCH(Base!$B391,'Debêntures ANBIMA'!$A:$A,0))</f>
        <v>0.29953917050691248</v>
      </c>
    </row>
    <row r="411" spans="1:20" x14ac:dyDescent="0.35">
      <c r="A411">
        <f>YEAR(B411)</f>
        <v>2019</v>
      </c>
      <c r="B411" s="12">
        <f>DATE(YEAR(G411),MONTH(G411),DAY(1))</f>
        <v>43647</v>
      </c>
      <c r="C411">
        <f>IF(E411&lt;&gt;E410,C410+1,C410)</f>
        <v>39</v>
      </c>
      <c r="D411" s="6" t="s">
        <v>335</v>
      </c>
      <c r="E411" s="6" t="s">
        <v>187</v>
      </c>
      <c r="F411" s="6" t="s">
        <v>346</v>
      </c>
      <c r="G411" s="1">
        <v>43649</v>
      </c>
      <c r="H411" s="1">
        <v>46572</v>
      </c>
      <c r="I411" s="7">
        <f>IF(H411-G411&gt;(365*5),1,0)</f>
        <v>1</v>
      </c>
      <c r="J411" s="22">
        <v>1</v>
      </c>
      <c r="K411" s="9" t="str">
        <f>IF($N411="USD",INDEX('Dólar Spot'!$C:$C,MATCH(Base!$G392,'Dólar Spot'!$A:$A,0)),"")</f>
        <v/>
      </c>
      <c r="L411" s="8">
        <v>1600000000</v>
      </c>
      <c r="M411" s="7">
        <f>IF(N411="USD",L411*K411/1000000,L411/1000000)</f>
        <v>1600</v>
      </c>
      <c r="N411" s="6" t="s">
        <v>348</v>
      </c>
      <c r="O411" s="9" t="str" cm="1">
        <f t="array" ref="O411">INDEX(Ratings!$B$2:$L$42,_xlfn.XMATCH(Base!E392,Ratings!$A$2:$A$42),_xlfn.XMATCH(YEAR(Base!G392),Ratings!$B$1:$L$1))</f>
        <v>BBB</v>
      </c>
      <c r="P411">
        <f>IF(AND(O411&lt;&gt;"BBB-",O411&lt;&gt;"BBB",O411&lt;&gt;"BBB+"),0,1)</f>
        <v>1</v>
      </c>
      <c r="Q411" s="7">
        <f>INDEX('Bonds ANBIMA'!$F:$F,MATCH(Base!$B392,'Bonds ANBIMA'!$A:$A,0))</f>
        <v>1486.966723076923</v>
      </c>
      <c r="R411" s="21">
        <f>INDEX('Bonds ANBIMA'!$H:$H,MATCH(Base!$B392,'Bonds ANBIMA'!$A:$A,0))</f>
        <v>0.5862068965517242</v>
      </c>
      <c r="S411" s="7">
        <f>INDEX('Debêntures ANBIMA'!$O:$O,MATCH(Base!$B392,'Debêntures ANBIMA'!$A:$A,0))</f>
        <v>249.09230769230768</v>
      </c>
      <c r="T411" s="24">
        <f>INDEX('Debêntures ANBIMA'!$P:$P,MATCH(Base!$B392,'Debêntures ANBIMA'!$A:$A,0))</f>
        <v>0.25631523685998392</v>
      </c>
    </row>
    <row r="412" spans="1:20" x14ac:dyDescent="0.35">
      <c r="A412">
        <f>YEAR(B412)</f>
        <v>2019</v>
      </c>
      <c r="B412" s="12">
        <f>DATE(YEAR(G412),MONTH(G412),DAY(1))</f>
        <v>43647</v>
      </c>
      <c r="C412">
        <f>IF(E412&lt;&gt;E411,C411+1,C411)</f>
        <v>39</v>
      </c>
      <c r="D412" s="6" t="s">
        <v>335</v>
      </c>
      <c r="E412" s="6" t="s">
        <v>187</v>
      </c>
      <c r="F412" s="6" t="s">
        <v>346</v>
      </c>
      <c r="G412" s="1">
        <v>43649</v>
      </c>
      <c r="H412" s="1">
        <v>46572</v>
      </c>
      <c r="I412" s="7">
        <f>IF(H412-G412&gt;(365*5),1,0)</f>
        <v>1</v>
      </c>
      <c r="J412" s="22">
        <v>1</v>
      </c>
      <c r="K412" s="9" t="str">
        <f>IF($N412="USD",INDEX('Dólar Spot'!$C:$C,MATCH(Base!$G393,'Dólar Spot'!$A:$A,0)),"")</f>
        <v/>
      </c>
      <c r="L412" s="8">
        <v>450000000</v>
      </c>
      <c r="M412" s="7">
        <f>IF(N412="USD",L412*K412/1000000,L412/1000000)</f>
        <v>450</v>
      </c>
      <c r="N412" s="6" t="s">
        <v>348</v>
      </c>
      <c r="O412" s="9" t="str" cm="1">
        <f t="array" ref="O412">INDEX(Ratings!$B$2:$L$42,_xlfn.XMATCH(Base!E393,Ratings!$A$2:$A$42),_xlfn.XMATCH(YEAR(Base!G393),Ratings!$B$1:$L$1))</f>
        <v>BBB</v>
      </c>
      <c r="P412">
        <f>IF(AND(O412&lt;&gt;"BBB-",O412&lt;&gt;"BBB",O412&lt;&gt;"BBB+"),0,1)</f>
        <v>1</v>
      </c>
      <c r="Q412" s="7">
        <f>INDEX('Bonds ANBIMA'!$F:$F,MATCH(Base!$B393,'Bonds ANBIMA'!$A:$A,0))</f>
        <v>1382.0987169274538</v>
      </c>
      <c r="R412" s="21">
        <f>INDEX('Bonds ANBIMA'!$H:$H,MATCH(Base!$B393,'Bonds ANBIMA'!$A:$A,0))</f>
        <v>0.81690140845070425</v>
      </c>
      <c r="S412" s="7">
        <f>INDEX('Debêntures ANBIMA'!$O:$O,MATCH(Base!$B393,'Debêntures ANBIMA'!$A:$A,0))</f>
        <v>216.71153846153845</v>
      </c>
      <c r="T412" s="24">
        <f>INDEX('Debêntures ANBIMA'!$P:$P,MATCH(Base!$B393,'Debêntures ANBIMA'!$A:$A,0))</f>
        <v>0.91569793238086783</v>
      </c>
    </row>
    <row r="413" spans="1:20" x14ac:dyDescent="0.35">
      <c r="A413">
        <f>YEAR(B413)</f>
        <v>2018</v>
      </c>
      <c r="B413" s="12">
        <f>DATE(YEAR(G413),MONTH(G413),DAY(1))</f>
        <v>43221</v>
      </c>
      <c r="C413">
        <f>IF(E413&lt;&gt;E412,C412+1,C412)</f>
        <v>39</v>
      </c>
      <c r="D413" s="6" t="s">
        <v>335</v>
      </c>
      <c r="E413" s="6" t="s">
        <v>187</v>
      </c>
      <c r="F413" s="6" t="s">
        <v>346</v>
      </c>
      <c r="G413" s="1">
        <v>43245</v>
      </c>
      <c r="H413" s="1">
        <v>43335</v>
      </c>
      <c r="I413" s="7">
        <f>IF(H413-G413&gt;(365*5),1,0)</f>
        <v>0</v>
      </c>
      <c r="J413" s="22">
        <v>1</v>
      </c>
      <c r="K413" s="9" t="str">
        <f>IF($N413="USD",INDEX('Dólar Spot'!$C:$C,MATCH(Base!$G394,'Dólar Spot'!$A:$A,0)),"")</f>
        <v/>
      </c>
      <c r="L413" s="8">
        <v>84968640.427000001</v>
      </c>
      <c r="M413" s="7">
        <f>IF(N413="USD",L413*K413/1000000,L413/1000000)</f>
        <v>84.968640426999997</v>
      </c>
      <c r="N413" s="6" t="s">
        <v>348</v>
      </c>
      <c r="O413" s="9" t="str" cm="1">
        <f t="array" ref="O413">INDEX(Ratings!$B$2:$L$42,_xlfn.XMATCH(Base!E394,Ratings!$A$2:$A$42),_xlfn.XMATCH(YEAR(Base!G394),Ratings!$B$1:$L$1))</f>
        <v>BBB</v>
      </c>
      <c r="P413">
        <f>IF(AND(O413&lt;&gt;"BBB-",O413&lt;&gt;"BBB",O413&lt;&gt;"BBB+"),0,1)</f>
        <v>1</v>
      </c>
      <c r="Q413" s="7">
        <f>INDEX('Bonds ANBIMA'!$F:$F,MATCH(Base!$B394,'Bonds ANBIMA'!$A:$A,0))</f>
        <v>2031.5071925297116</v>
      </c>
      <c r="R413" s="21">
        <f>INDEX('Bonds ANBIMA'!$H:$H,MATCH(Base!$B394,'Bonds ANBIMA'!$A:$A,0))</f>
        <v>0.7592592592592593</v>
      </c>
      <c r="S413" s="7">
        <f>INDEX('Debêntures ANBIMA'!$O:$O,MATCH(Base!$B394,'Debêntures ANBIMA'!$A:$A,0))</f>
        <v>303.8</v>
      </c>
      <c r="T413" s="24">
        <f>INDEX('Debêntures ANBIMA'!$P:$P,MATCH(Base!$B394,'Debêntures ANBIMA'!$A:$A,0))</f>
        <v>0.29953917050691248</v>
      </c>
    </row>
    <row r="414" spans="1:20" x14ac:dyDescent="0.35">
      <c r="A414">
        <f>YEAR(B414)</f>
        <v>2019</v>
      </c>
      <c r="B414" s="12">
        <f>DATE(YEAR(G414),MONTH(G414),DAY(1))</f>
        <v>43647</v>
      </c>
      <c r="C414">
        <f>IF(E414&lt;&gt;E413,C413+1,C413)</f>
        <v>39</v>
      </c>
      <c r="D414" s="6" t="s">
        <v>335</v>
      </c>
      <c r="E414" s="6" t="s">
        <v>187</v>
      </c>
      <c r="F414" s="6" t="s">
        <v>346</v>
      </c>
      <c r="G414" s="1">
        <v>43649</v>
      </c>
      <c r="H414" s="1">
        <v>46572</v>
      </c>
      <c r="I414" s="7">
        <f>IF(H414-G414&gt;(365*5),1,0)</f>
        <v>1</v>
      </c>
      <c r="J414" s="22">
        <v>1</v>
      </c>
      <c r="K414" s="9" t="str">
        <f>IF($N414="USD",INDEX('Dólar Spot'!$C:$C,MATCH(Base!$G395,'Dólar Spot'!$A:$A,0)),"")</f>
        <v/>
      </c>
      <c r="L414" s="8">
        <v>50000000</v>
      </c>
      <c r="M414" s="7">
        <f>IF(N414="USD",L414*K414/1000000,L414/1000000)</f>
        <v>50</v>
      </c>
      <c r="N414" s="6" t="s">
        <v>348</v>
      </c>
      <c r="O414" s="9" t="str" cm="1">
        <f t="array" ref="O414">INDEX(Ratings!$B$2:$L$42,_xlfn.XMATCH(Base!E395,Ratings!$A$2:$A$42),_xlfn.XMATCH(YEAR(Base!G395),Ratings!$B$1:$L$1))</f>
        <v>BBB</v>
      </c>
      <c r="P414">
        <f>IF(AND(O414&lt;&gt;"BBB-",O414&lt;&gt;"BBB",O414&lt;&gt;"BBB+"),0,1)</f>
        <v>1</v>
      </c>
      <c r="Q414" s="7">
        <f>INDEX('Bonds ANBIMA'!$F:$F,MATCH(Base!$B395,'Bonds ANBIMA'!$A:$A,0))</f>
        <v>1939.5944668202767</v>
      </c>
      <c r="R414" s="21">
        <f>INDEX('Bonds ANBIMA'!$H:$H,MATCH(Base!$B395,'Bonds ANBIMA'!$A:$A,0))</f>
        <v>0.7592592592592593</v>
      </c>
      <c r="S414" s="7">
        <f>INDEX('Debêntures ANBIMA'!$O:$O,MATCH(Base!$B395,'Debêntures ANBIMA'!$A:$A,0))</f>
        <v>215.26190476190476</v>
      </c>
      <c r="T414" s="24">
        <f>INDEX('Debêntures ANBIMA'!$P:$P,MATCH(Base!$B395,'Debêntures ANBIMA'!$A:$A,0))</f>
        <v>0.85643181064041585</v>
      </c>
    </row>
    <row r="415" spans="1:20" x14ac:dyDescent="0.35">
      <c r="A415">
        <f>YEAR(B415)</f>
        <v>2013</v>
      </c>
      <c r="B415" s="12">
        <f>DATE(YEAR(G415),MONTH(G415),DAY(1))</f>
        <v>41548</v>
      </c>
      <c r="C415">
        <f>IF(E415&lt;&gt;E414,C414+1,C414)</f>
        <v>40</v>
      </c>
      <c r="D415" s="6" t="s">
        <v>336</v>
      </c>
      <c r="E415" s="6" t="s">
        <v>190</v>
      </c>
      <c r="F415" s="6" t="s">
        <v>346</v>
      </c>
      <c r="G415" s="1">
        <v>41562</v>
      </c>
      <c r="H415" s="1">
        <v>43388</v>
      </c>
      <c r="I415" s="7">
        <f>IF(H415-G415&gt;(365*5),1,0)</f>
        <v>1</v>
      </c>
      <c r="J415" s="22">
        <v>1</v>
      </c>
      <c r="K415" s="9" t="str">
        <f>IF($N415="USD",INDEX('Dólar Spot'!$C:$C,MATCH(Base!$G398,'Dólar Spot'!$A:$A,0)),"")</f>
        <v/>
      </c>
      <c r="L415" s="8">
        <v>105975000</v>
      </c>
      <c r="M415" s="7">
        <f>IF(N415="USD",L415*K415/1000000,L415/1000000)</f>
        <v>105.97499999999999</v>
      </c>
      <c r="N415" s="6" t="s">
        <v>348</v>
      </c>
      <c r="O415" s="9" t="str" cm="1">
        <f t="array" ref="O415">INDEX(Ratings!$B$2:$L$42,_xlfn.XMATCH(Base!E398,Ratings!$A$2:$A$42),_xlfn.XMATCH(YEAR(Base!G398),Ratings!$B$1:$L$1))</f>
        <v>BB-</v>
      </c>
      <c r="P415">
        <f>IF(AND(O415&lt;&gt;"BBB-",O415&lt;&gt;"BBB",O415&lt;&gt;"BBB+"),0,1)</f>
        <v>0</v>
      </c>
      <c r="Q415" s="7">
        <f>INDEX('Bonds ANBIMA'!$F:$F,MATCH(Base!$B398,'Bonds ANBIMA'!$A:$A,0))</f>
        <v>2009.6909090909087</v>
      </c>
      <c r="R415" s="21">
        <f>INDEX('Bonds ANBIMA'!$H:$H,MATCH(Base!$B398,'Bonds ANBIMA'!$A:$A,0))</f>
        <v>0.85714285714285721</v>
      </c>
      <c r="S415" s="7">
        <f>INDEX('Debêntures ANBIMA'!$O:$O,MATCH(Base!$B398,'Debêntures ANBIMA'!$A:$A,0))</f>
        <v>523.03090625000004</v>
      </c>
      <c r="T415" s="24">
        <f>INDEX('Debêntures ANBIMA'!$P:$P,MATCH(Base!$B398,'Debêntures ANBIMA'!$A:$A,0))</f>
        <v>0.41570842895983912</v>
      </c>
    </row>
    <row r="416" spans="1:20" x14ac:dyDescent="0.35">
      <c r="A416">
        <f>YEAR(B416)</f>
        <v>2019</v>
      </c>
      <c r="B416" s="12">
        <f>DATE(YEAR(G416),MONTH(G416),DAY(1))</f>
        <v>43770</v>
      </c>
      <c r="C416">
        <f>IF(E416&lt;&gt;E415,C415+1,C415)</f>
        <v>40</v>
      </c>
      <c r="D416" s="6" t="s">
        <v>336</v>
      </c>
      <c r="E416" s="6" t="s">
        <v>190</v>
      </c>
      <c r="F416" s="6" t="s">
        <v>346</v>
      </c>
      <c r="G416" s="1">
        <v>43784</v>
      </c>
      <c r="H416" s="1">
        <v>47437</v>
      </c>
      <c r="I416" s="7">
        <f>IF(H416-G416&gt;(365*5),1,0)</f>
        <v>1</v>
      </c>
      <c r="J416" s="22">
        <v>1</v>
      </c>
      <c r="K416" s="9" t="str">
        <f>IF($N416="USD",INDEX('Dólar Spot'!$C:$C,MATCH(Base!$G399,'Dólar Spot'!$A:$A,0)),"")</f>
        <v/>
      </c>
      <c r="L416" s="8">
        <v>900000000</v>
      </c>
      <c r="M416" s="7">
        <f>IF(N416="USD",L416*K416/1000000,L416/1000000)</f>
        <v>900</v>
      </c>
      <c r="N416" s="6" t="s">
        <v>347</v>
      </c>
      <c r="O416" s="9" t="str" cm="1">
        <f t="array" ref="O416">INDEX(Ratings!$B$2:$L$42,_xlfn.XMATCH(Base!E399,Ratings!$A$2:$A$42),_xlfn.XMATCH(YEAR(Base!G399),Ratings!$B$1:$L$1))</f>
        <v>BB</v>
      </c>
      <c r="P416">
        <f>IF(AND(O416&lt;&gt;"BBB-",O416&lt;&gt;"BBB",O416&lt;&gt;"BBB+"),0,1)</f>
        <v>0</v>
      </c>
      <c r="Q416" s="7">
        <f>INDEX('Bonds ANBIMA'!$F:$F,MATCH(Base!$B399,'Bonds ANBIMA'!$A:$A,0))</f>
        <v>0</v>
      </c>
      <c r="R416" s="21">
        <f>INDEX('Bonds ANBIMA'!$H:$H,MATCH(Base!$B399,'Bonds ANBIMA'!$A:$A,0))</f>
        <v>0.88888888888888884</v>
      </c>
      <c r="S416" s="7">
        <f>INDEX('Debêntures ANBIMA'!$O:$O,MATCH(Base!$B399,'Debêntures ANBIMA'!$A:$A,0))</f>
        <v>454.29927272727275</v>
      </c>
      <c r="T416" s="24">
        <f>INDEX('Debêntures ANBIMA'!$P:$P,MATCH(Base!$B399,'Debêntures ANBIMA'!$A:$A,0))</f>
        <v>0.76949620572790256</v>
      </c>
    </row>
    <row r="417" spans="1:20" x14ac:dyDescent="0.35">
      <c r="A417">
        <f>YEAR(B417)</f>
        <v>2020</v>
      </c>
      <c r="B417" s="12">
        <f>DATE(YEAR(G417),MONTH(G417),DAY(1))</f>
        <v>43983</v>
      </c>
      <c r="C417">
        <f>IF(E417&lt;&gt;E416,C416+1,C416)</f>
        <v>40</v>
      </c>
      <c r="D417" s="6" t="s">
        <v>336</v>
      </c>
      <c r="E417" s="6" t="s">
        <v>190</v>
      </c>
      <c r="F417" s="6" t="s">
        <v>346</v>
      </c>
      <c r="G417" s="1">
        <v>43997</v>
      </c>
      <c r="H417" s="1">
        <v>47649</v>
      </c>
      <c r="I417" s="7">
        <f>IF(H417-G417&gt;(365*5),1,0)</f>
        <v>1</v>
      </c>
      <c r="J417" s="22">
        <v>1</v>
      </c>
      <c r="K417" s="9" t="str">
        <f>IF($N417="USD",INDEX('Dólar Spot'!$C:$C,MATCH(Base!$G400,'Dólar Spot'!$A:$A,0)),"")</f>
        <v/>
      </c>
      <c r="L417" s="8">
        <v>169518000</v>
      </c>
      <c r="M417" s="7">
        <f>IF(N417="USD",L417*K417/1000000,L417/1000000)</f>
        <v>169.518</v>
      </c>
      <c r="N417" s="6" t="s">
        <v>347</v>
      </c>
      <c r="O417" s="9" t="str" cm="1">
        <f t="array" ref="O417">INDEX(Ratings!$B$2:$L$42,_xlfn.XMATCH(Base!E400,Ratings!$A$2:$A$42),_xlfn.XMATCH(YEAR(Base!G400),Ratings!$B$1:$L$1))</f>
        <v>BB-</v>
      </c>
      <c r="P417">
        <f>IF(AND(O417&lt;&gt;"BBB-",O417&lt;&gt;"BBB",O417&lt;&gt;"BBB+"),0,1)</f>
        <v>0</v>
      </c>
      <c r="Q417" s="7">
        <f>INDEX('Bonds ANBIMA'!$F:$F,MATCH(Base!$B400,'Bonds ANBIMA'!$A:$A,0))</f>
        <v>0</v>
      </c>
      <c r="R417" s="21">
        <f>INDEX('Bonds ANBIMA'!$H:$H,MATCH(Base!$B400,'Bonds ANBIMA'!$A:$A,0))</f>
        <v>1</v>
      </c>
      <c r="S417" s="7">
        <f>INDEX('Debêntures ANBIMA'!$O:$O,MATCH(Base!$B400,'Debêntures ANBIMA'!$A:$A,0))</f>
        <v>572.43679166666664</v>
      </c>
      <c r="T417" s="24">
        <f>INDEX('Debêntures ANBIMA'!$P:$P,MATCH(Base!$B400,'Debêntures ANBIMA'!$A:$A,0))</f>
        <v>0.50135484259515417</v>
      </c>
    </row>
    <row r="418" spans="1:20" x14ac:dyDescent="0.35">
      <c r="A418">
        <f>YEAR(B418)</f>
        <v>2013</v>
      </c>
      <c r="B418" s="12">
        <f>DATE(YEAR(G418),MONTH(G418),DAY(1))</f>
        <v>41548</v>
      </c>
      <c r="C418">
        <f>IF(E418&lt;&gt;E417,C417+1,C417)</f>
        <v>40</v>
      </c>
      <c r="D418" s="6" t="s">
        <v>336</v>
      </c>
      <c r="E418" s="6" t="s">
        <v>190</v>
      </c>
      <c r="F418" s="6" t="s">
        <v>346</v>
      </c>
      <c r="G418" s="1">
        <v>41562</v>
      </c>
      <c r="H418" s="1">
        <v>43388</v>
      </c>
      <c r="I418" s="7">
        <f>IF(H418-G418&gt;(365*5),1,0)</f>
        <v>1</v>
      </c>
      <c r="J418" s="22">
        <v>1</v>
      </c>
      <c r="K418" s="9" t="str">
        <f>IF($N418="USD",INDEX('Dólar Spot'!$C:$C,MATCH(Base!$G401,'Dólar Spot'!$A:$A,0)),"")</f>
        <v/>
      </c>
      <c r="L418" s="8">
        <v>340000000</v>
      </c>
      <c r="M418" s="7">
        <f>IF(N418="USD",L418*K418/1000000,L418/1000000)</f>
        <v>340</v>
      </c>
      <c r="N418" s="6" t="s">
        <v>348</v>
      </c>
      <c r="O418" s="9" t="str" cm="1">
        <f t="array" ref="O418">INDEX(Ratings!$B$2:$L$42,_xlfn.XMATCH(Base!E401,Ratings!$A$2:$A$42),_xlfn.XMATCH(YEAR(Base!G401),Ratings!$B$1:$L$1))</f>
        <v>BB-</v>
      </c>
      <c r="P418">
        <f>IF(AND(O418&lt;&gt;"BBB-",O418&lt;&gt;"BBB",O418&lt;&gt;"BBB+"),0,1)</f>
        <v>0</v>
      </c>
      <c r="Q418" s="7">
        <f>INDEX('Bonds ANBIMA'!$F:$F,MATCH(Base!$B401,'Bonds ANBIMA'!$A:$A,0))</f>
        <v>2009.6909090909087</v>
      </c>
      <c r="R418" s="21">
        <f>INDEX('Bonds ANBIMA'!$H:$H,MATCH(Base!$B401,'Bonds ANBIMA'!$A:$A,0))</f>
        <v>0.85714285714285721</v>
      </c>
      <c r="S418" s="7">
        <f>INDEX('Debêntures ANBIMA'!$O:$O,MATCH(Base!$B401,'Debêntures ANBIMA'!$A:$A,0))</f>
        <v>523.03090625000004</v>
      </c>
      <c r="T418" s="24">
        <f>INDEX('Debêntures ANBIMA'!$P:$P,MATCH(Base!$B401,'Debêntures ANBIMA'!$A:$A,0))</f>
        <v>0.41570842895983912</v>
      </c>
    </row>
    <row r="419" spans="1:20" x14ac:dyDescent="0.35">
      <c r="A419">
        <f>YEAR(B419)</f>
        <v>2013</v>
      </c>
      <c r="B419" s="12">
        <f>DATE(YEAR(G419),MONTH(G419),DAY(1))</f>
        <v>41548</v>
      </c>
      <c r="C419">
        <f>IF(E419&lt;&gt;E418,C418+1,C418)</f>
        <v>40</v>
      </c>
      <c r="D419" s="6" t="s">
        <v>336</v>
      </c>
      <c r="E419" s="6" t="s">
        <v>190</v>
      </c>
      <c r="F419" s="6" t="s">
        <v>346</v>
      </c>
      <c r="G419" s="1">
        <v>41562</v>
      </c>
      <c r="H419" s="1">
        <v>44119</v>
      </c>
      <c r="I419" s="7">
        <f>IF(H419-G419&gt;(365*5),1,0)</f>
        <v>1</v>
      </c>
      <c r="J419" s="22">
        <v>1</v>
      </c>
      <c r="K419" s="9" t="str">
        <f>IF($N419="USD",INDEX('Dólar Spot'!$C:$C,MATCH(Base!$G402,'Dólar Spot'!$A:$A,0)),"")</f>
        <v/>
      </c>
      <c r="L419" s="8">
        <v>304025000</v>
      </c>
      <c r="M419" s="7">
        <f>IF(N419="USD",L419*K419/1000000,L419/1000000)</f>
        <v>304.02499999999998</v>
      </c>
      <c r="N419" s="6" t="s">
        <v>347</v>
      </c>
      <c r="O419" s="9" t="str" cm="1">
        <f t="array" ref="O419">INDEX(Ratings!$B$2:$L$42,_xlfn.XMATCH(Base!E402,Ratings!$A$2:$A$42),_xlfn.XMATCH(YEAR(Base!G402),Ratings!$B$1:$L$1))</f>
        <v>BB</v>
      </c>
      <c r="P419">
        <f>IF(AND(O419&lt;&gt;"BBB-",O419&lt;&gt;"BBB",O419&lt;&gt;"BBB+"),0,1)</f>
        <v>0</v>
      </c>
      <c r="Q419" s="7">
        <f>INDEX('Bonds ANBIMA'!$F:$F,MATCH(Base!$B402,'Bonds ANBIMA'!$A:$A,0))</f>
        <v>0</v>
      </c>
      <c r="R419" s="21">
        <f>INDEX('Bonds ANBIMA'!$H:$H,MATCH(Base!$B402,'Bonds ANBIMA'!$A:$A,0))</f>
        <v>0.88888888888888884</v>
      </c>
      <c r="S419" s="7">
        <f>INDEX('Debêntures ANBIMA'!$O:$O,MATCH(Base!$B402,'Debêntures ANBIMA'!$A:$A,0))</f>
        <v>454.29927272727275</v>
      </c>
      <c r="T419" s="24">
        <f>INDEX('Debêntures ANBIMA'!$P:$P,MATCH(Base!$B402,'Debêntures ANBIMA'!$A:$A,0))</f>
        <v>0.76949620572790256</v>
      </c>
    </row>
    <row r="420" spans="1:20" x14ac:dyDescent="0.35">
      <c r="A420">
        <f>YEAR(B420)</f>
        <v>2017</v>
      </c>
      <c r="B420" s="12">
        <f>DATE(YEAR(G420),MONTH(G420),DAY(1))</f>
        <v>42736</v>
      </c>
      <c r="C420">
        <f>IF(E420&lt;&gt;E419,C419+1,C419)</f>
        <v>40</v>
      </c>
      <c r="D420" s="6" t="s">
        <v>191</v>
      </c>
      <c r="E420" s="6" t="s">
        <v>190</v>
      </c>
      <c r="F420" s="6" t="s">
        <v>233</v>
      </c>
      <c r="G420" s="1">
        <v>42755</v>
      </c>
      <c r="H420" s="1" t="s">
        <v>66</v>
      </c>
      <c r="I420" s="7">
        <f>IF(H420-G420&gt;(365*5),1,0)</f>
        <v>1</v>
      </c>
      <c r="J420" s="22">
        <v>1</v>
      </c>
      <c r="K420" s="9">
        <f>IF($N420="USD",INDEX('Dólar Spot'!$C:$C,MATCH(Base!$G396,'Dólar Spot'!$A:$A,0)),"")</f>
        <v>3.1970000000000001</v>
      </c>
      <c r="L420" s="8">
        <v>500000000</v>
      </c>
      <c r="M420" s="7">
        <f>IF(N420="USD",L420*K420/1000000,L420/1000000)</f>
        <v>1598.5</v>
      </c>
      <c r="N420" s="6" t="s">
        <v>16</v>
      </c>
      <c r="O420" s="9" t="str" cm="1">
        <f t="array" ref="O420">INDEX(Ratings!$B$2:$L$42,_xlfn.XMATCH(Base!E396,Ratings!$A$2:$A$42),_xlfn.XMATCH(YEAR(Base!G396),Ratings!$B$1:$L$1))</f>
        <v>BB</v>
      </c>
      <c r="P420">
        <f>IF(AND(O420&lt;&gt;"BBB-",O420&lt;&gt;"BBB",O420&lt;&gt;"BBB+"),0,1)</f>
        <v>0</v>
      </c>
      <c r="Q420" s="7">
        <f>INDEX('Bonds ANBIMA'!$F:$F,MATCH(Base!$B396,'Bonds ANBIMA'!$A:$A,0))</f>
        <v>0</v>
      </c>
      <c r="R420" s="21">
        <f>INDEX('Bonds ANBIMA'!$H:$H,MATCH(Base!$B396,'Bonds ANBIMA'!$A:$A,0))</f>
        <v>0.88888888888888884</v>
      </c>
      <c r="S420" s="7">
        <f>INDEX('Debêntures ANBIMA'!$O:$O,MATCH(Base!$B396,'Debêntures ANBIMA'!$A:$A,0))</f>
        <v>454.29927272727275</v>
      </c>
      <c r="T420" s="24">
        <f>INDEX('Debêntures ANBIMA'!$P:$P,MATCH(Base!$B396,'Debêntures ANBIMA'!$A:$A,0))</f>
        <v>0.76949620572790256</v>
      </c>
    </row>
    <row r="421" spans="1:20" x14ac:dyDescent="0.35">
      <c r="A421">
        <f>YEAR(B421)</f>
        <v>2020</v>
      </c>
      <c r="B421" s="12">
        <f>DATE(YEAR(G421),MONTH(G421),DAY(1))</f>
        <v>44013</v>
      </c>
      <c r="C421">
        <f>IF(E421&lt;&gt;E420,C420+1,C420)</f>
        <v>40</v>
      </c>
      <c r="D421" s="6" t="s">
        <v>191</v>
      </c>
      <c r="E421" s="6" t="s">
        <v>190</v>
      </c>
      <c r="F421" s="6" t="s">
        <v>233</v>
      </c>
      <c r="G421" s="1">
        <v>44019</v>
      </c>
      <c r="H421" s="1" t="s">
        <v>66</v>
      </c>
      <c r="I421" s="7">
        <f>IF(H421-G421&gt;(365*5),1,0)</f>
        <v>1</v>
      </c>
      <c r="J421" s="22">
        <v>1</v>
      </c>
      <c r="K421" s="9">
        <f>IF($N421="USD",INDEX('Dólar Spot'!$C:$C,MATCH(Base!$G397,'Dólar Spot'!$A:$A,0)),"")</f>
        <v>3.7042999999999999</v>
      </c>
      <c r="L421" s="8">
        <v>225000000</v>
      </c>
      <c r="M421" s="7">
        <f>IF(N421="USD",L421*K421/1000000,L421/1000000)</f>
        <v>833.46749999999997</v>
      </c>
      <c r="N421" s="6" t="s">
        <v>16</v>
      </c>
      <c r="O421" s="9" t="str" cm="1">
        <f t="array" ref="O421">INDEX(Ratings!$B$2:$L$42,_xlfn.XMATCH(Base!E397,Ratings!$A$2:$A$42),_xlfn.XMATCH(YEAR(Base!G397),Ratings!$B$1:$L$1))</f>
        <v>BB-</v>
      </c>
      <c r="P421">
        <f>IF(AND(O421&lt;&gt;"BBB-",O421&lt;&gt;"BBB",O421&lt;&gt;"BBB+"),0,1)</f>
        <v>0</v>
      </c>
      <c r="Q421" s="7">
        <f>INDEX('Bonds ANBIMA'!$F:$F,MATCH(Base!$B397,'Bonds ANBIMA'!$A:$A,0))</f>
        <v>0</v>
      </c>
      <c r="R421" s="21">
        <f>INDEX('Bonds ANBIMA'!$H:$H,MATCH(Base!$B397,'Bonds ANBIMA'!$A:$A,0))</f>
        <v>1</v>
      </c>
      <c r="S421" s="7">
        <f>INDEX('Debêntures ANBIMA'!$O:$O,MATCH(Base!$B397,'Debêntures ANBIMA'!$A:$A,0))</f>
        <v>572.43679166666664</v>
      </c>
      <c r="T421" s="24">
        <f>INDEX('Debêntures ANBIMA'!$P:$P,MATCH(Base!$B397,'Debêntures ANBIMA'!$A:$A,0))</f>
        <v>0.50135484259515417</v>
      </c>
    </row>
    <row r="422" spans="1:20" x14ac:dyDescent="0.35">
      <c r="A422">
        <f>YEAR(B422)</f>
        <v>2020</v>
      </c>
      <c r="B422" s="12">
        <f>DATE(YEAR(G422),MONTH(G422),DAY(1))</f>
        <v>43831</v>
      </c>
      <c r="C422">
        <f>IF(E422&lt;&gt;E421,C421+1,C421)</f>
        <v>41</v>
      </c>
      <c r="D422" s="6" t="s">
        <v>193</v>
      </c>
      <c r="E422" s="6" t="s">
        <v>192</v>
      </c>
      <c r="F422" s="6" t="s">
        <v>233</v>
      </c>
      <c r="G422" s="1">
        <v>43852</v>
      </c>
      <c r="H422" s="1" t="s">
        <v>194</v>
      </c>
      <c r="I422" s="7">
        <f>IF(H422-G422&gt;(365*5),1,0)</f>
        <v>1</v>
      </c>
      <c r="J422" s="22">
        <v>1</v>
      </c>
      <c r="K422" s="9">
        <f>IF($N422="USD",INDEX('Dólar Spot'!$C:$C,MATCH(Base!$G403,'Dólar Spot'!$A:$A,0)),"")</f>
        <v>3.7042999999999999</v>
      </c>
      <c r="L422" s="8">
        <v>850000000</v>
      </c>
      <c r="M422" s="7">
        <f>IF(N422="USD",L422*K422/1000000,L422/1000000)</f>
        <v>3148.6550000000002</v>
      </c>
      <c r="N422" s="6" t="s">
        <v>16</v>
      </c>
      <c r="O422" s="9" t="str" cm="1">
        <f t="array" ref="O422">INDEX(Ratings!$B$2:$L$42,_xlfn.XMATCH(Base!E403,Ratings!$A$2:$A$42),_xlfn.XMATCH(YEAR(Base!G403),Ratings!$B$1:$L$1))</f>
        <v>BB-</v>
      </c>
      <c r="P422">
        <f>IF(AND(O422&lt;&gt;"BBB-",O422&lt;&gt;"BBB",O422&lt;&gt;"BBB+"),0,1)</f>
        <v>0</v>
      </c>
      <c r="Q422" s="7">
        <f>INDEX('Bonds ANBIMA'!$F:$F,MATCH(Base!$B403,'Bonds ANBIMA'!$A:$A,0))</f>
        <v>0</v>
      </c>
      <c r="R422" s="21">
        <f>INDEX('Bonds ANBIMA'!$H:$H,MATCH(Base!$B403,'Bonds ANBIMA'!$A:$A,0))</f>
        <v>1</v>
      </c>
      <c r="S422" s="7">
        <f>INDEX('Debêntures ANBIMA'!$O:$O,MATCH(Base!$B403,'Debêntures ANBIMA'!$A:$A,0))</f>
        <v>572.43679166666664</v>
      </c>
      <c r="T422" s="24">
        <f>INDEX('Debêntures ANBIMA'!$P:$P,MATCH(Base!$B403,'Debêntures ANBIMA'!$A:$A,0))</f>
        <v>0.50135484259515417</v>
      </c>
    </row>
    <row r="423" spans="1:20" x14ac:dyDescent="0.35">
      <c r="A423">
        <f>YEAR(B423)</f>
        <v>2018</v>
      </c>
      <c r="B423" s="12">
        <f>DATE(YEAR(G423),MONTH(G423),DAY(1))</f>
        <v>43101</v>
      </c>
      <c r="C423">
        <f>IF(E423&lt;&gt;E422,C422+1,C422)</f>
        <v>41</v>
      </c>
      <c r="D423" s="6" t="s">
        <v>193</v>
      </c>
      <c r="E423" s="6" t="s">
        <v>192</v>
      </c>
      <c r="F423" s="6" t="s">
        <v>233</v>
      </c>
      <c r="G423" s="1">
        <v>43117</v>
      </c>
      <c r="H423" s="1" t="s">
        <v>195</v>
      </c>
      <c r="I423" s="7">
        <f>IF(H423-G423&gt;(365*5),1,0)</f>
        <v>1</v>
      </c>
      <c r="J423" s="22">
        <v>0</v>
      </c>
      <c r="K423" s="9">
        <f>IF($N423="USD",INDEX('Dólar Spot'!$C:$C,MATCH(Base!$G404,'Dólar Spot'!$A:$A,0)),"")</f>
        <v>3.1970000000000001</v>
      </c>
      <c r="L423" s="8">
        <v>500000000</v>
      </c>
      <c r="M423" s="7">
        <f>IF(N423="USD",L423*K423/1000000,L423/1000000)</f>
        <v>1598.5</v>
      </c>
      <c r="N423" s="6" t="s">
        <v>16</v>
      </c>
      <c r="O423" s="9" t="str" cm="1">
        <f t="array" ref="O423">INDEX(Ratings!$B$2:$L$42,_xlfn.XMATCH(Base!E404,Ratings!$A$2:$A$42),_xlfn.XMATCH(YEAR(Base!G404),Ratings!$B$1:$L$1))</f>
        <v>BB</v>
      </c>
      <c r="P423">
        <f>IF(AND(O423&lt;&gt;"BBB-",O423&lt;&gt;"BBB",O423&lt;&gt;"BBB+"),0,1)</f>
        <v>0</v>
      </c>
      <c r="Q423" s="7">
        <f>INDEX('Bonds ANBIMA'!$F:$F,MATCH(Base!$B404,'Bonds ANBIMA'!$A:$A,0))</f>
        <v>0</v>
      </c>
      <c r="R423" s="21">
        <f>INDEX('Bonds ANBIMA'!$H:$H,MATCH(Base!$B404,'Bonds ANBIMA'!$A:$A,0))</f>
        <v>0.88888888888888884</v>
      </c>
      <c r="S423" s="7">
        <f>INDEX('Debêntures ANBIMA'!$O:$O,MATCH(Base!$B404,'Debêntures ANBIMA'!$A:$A,0))</f>
        <v>454.29927272727275</v>
      </c>
      <c r="T423" s="24">
        <f>INDEX('Debêntures ANBIMA'!$P:$P,MATCH(Base!$B404,'Debêntures ANBIMA'!$A:$A,0))</f>
        <v>0.76949620572790256</v>
      </c>
    </row>
    <row r="424" spans="1:20" x14ac:dyDescent="0.35">
      <c r="A424">
        <f>YEAR(B424)</f>
        <v>2020</v>
      </c>
      <c r="B424" s="12">
        <f>DATE(YEAR(G424),MONTH(G424),DAY(1))</f>
        <v>43862</v>
      </c>
      <c r="C424">
        <f>IF(E424&lt;&gt;E423,C423+1,C423)</f>
        <v>41</v>
      </c>
      <c r="D424" s="6" t="s">
        <v>193</v>
      </c>
      <c r="E424" s="6" t="s">
        <v>192</v>
      </c>
      <c r="F424" s="6" t="s">
        <v>233</v>
      </c>
      <c r="G424" s="1">
        <v>43874</v>
      </c>
      <c r="H424" s="1" t="s">
        <v>194</v>
      </c>
      <c r="I424" s="7">
        <f>IF(H424-G424&gt;(365*5),1,0)</f>
        <v>1</v>
      </c>
      <c r="J424" s="22">
        <v>1</v>
      </c>
      <c r="K424" s="9">
        <f>IF($N424="USD",INDEX('Dólar Spot'!$C:$C,MATCH(Base!$G405,'Dólar Spot'!$A:$A,0)),"")</f>
        <v>1.5630999999999999</v>
      </c>
      <c r="L424" s="8">
        <v>350000000</v>
      </c>
      <c r="M424" s="7">
        <f>IF(N424="USD",L424*K424/1000000,L424/1000000)</f>
        <v>547.08500000000004</v>
      </c>
      <c r="N424" s="6" t="s">
        <v>16</v>
      </c>
      <c r="O424" s="9" t="str" cm="1">
        <f t="array" ref="O424">INDEX(Ratings!$B$2:$L$42,_xlfn.XMATCH(Base!E405,Ratings!$A$2:$A$42),_xlfn.XMATCH(YEAR(Base!G405),Ratings!$B$1:$L$1))</f>
        <v>NR</v>
      </c>
      <c r="P424">
        <f>IF(AND(O424&lt;&gt;"BBB-",O424&lt;&gt;"BBB",O424&lt;&gt;"BBB+"),0,1)</f>
        <v>0</v>
      </c>
      <c r="Q424" s="7">
        <f>INDEX('Bonds ANBIMA'!$F:$F,MATCH(Base!$B405,'Bonds ANBIMA'!$A:$A,0))</f>
        <v>1387.9463871794871</v>
      </c>
      <c r="R424" s="21">
        <f>INDEX('Bonds ANBIMA'!$H:$H,MATCH(Base!$B405,'Bonds ANBIMA'!$A:$A,0))</f>
        <v>0.5862068965517242</v>
      </c>
      <c r="S424" s="7">
        <f>INDEX('Debêntures ANBIMA'!$O:$O,MATCH(Base!$B405,'Debêntures ANBIMA'!$A:$A,0))</f>
        <v>295.56919334588235</v>
      </c>
      <c r="T424" s="24">
        <f>INDEX('Debêntures ANBIMA'!$P:$P,MATCH(Base!$B405,'Debêntures ANBIMA'!$A:$A,0))</f>
        <v>0.57509687651902874</v>
      </c>
    </row>
    <row r="425" spans="1:20" x14ac:dyDescent="0.35">
      <c r="A425">
        <f>YEAR(B425)</f>
        <v>2011</v>
      </c>
      <c r="B425" s="12">
        <f>DATE(YEAR(G425),MONTH(G425),DAY(1))</f>
        <v>40634</v>
      </c>
      <c r="C425">
        <f>IF(E425&lt;&gt;E424,C424+1,C424)</f>
        <v>41</v>
      </c>
      <c r="D425" s="6" t="s">
        <v>337</v>
      </c>
      <c r="E425" s="6" t="s">
        <v>192</v>
      </c>
      <c r="F425" s="6" t="s">
        <v>346</v>
      </c>
      <c r="G425" s="1">
        <v>40653</v>
      </c>
      <c r="H425" s="1">
        <v>43941</v>
      </c>
      <c r="I425" s="7">
        <f>IF(H425-G425&gt;(365*5),1,0)</f>
        <v>1</v>
      </c>
      <c r="J425" s="6">
        <v>0</v>
      </c>
      <c r="K425" s="9" t="str">
        <f>IF($N425="USD",INDEX('Dólar Spot'!$C:$C,MATCH(Base!$G406,'Dólar Spot'!$A:$A,0)),"")</f>
        <v/>
      </c>
      <c r="L425" s="8">
        <v>1000000000</v>
      </c>
      <c r="M425" s="7">
        <f>IF(N425="USD",L425*K425/1000000,L425/1000000)</f>
        <v>1000</v>
      </c>
      <c r="N425" s="6" t="s">
        <v>348</v>
      </c>
      <c r="O425" s="9" t="str" cm="1">
        <f t="array" ref="O425">INDEX(Ratings!$B$2:$L$42,_xlfn.XMATCH(Base!E406,Ratings!$A$2:$A$42),_xlfn.XMATCH(YEAR(Base!G406),Ratings!$B$1:$L$1))</f>
        <v>NR</v>
      </c>
      <c r="P425">
        <f>IF(AND(O425&lt;&gt;"BBB-",O425&lt;&gt;"BBB",O425&lt;&gt;"BBB+"),0,1)</f>
        <v>0</v>
      </c>
      <c r="Q425" s="7">
        <f>INDEX('Bonds ANBIMA'!$F:$F,MATCH(Base!$B406,'Bonds ANBIMA'!$A:$A,0))</f>
        <v>2226.0844074193546</v>
      </c>
      <c r="R425" s="21">
        <f>INDEX('Bonds ANBIMA'!$H:$H,MATCH(Base!$B406,'Bonds ANBIMA'!$A:$A,0))</f>
        <v>0.7592592592592593</v>
      </c>
      <c r="S425" s="7">
        <f>INDEX('Debêntures ANBIMA'!$O:$O,MATCH(Base!$B406,'Debêntures ANBIMA'!$A:$A,0))</f>
        <v>427.50950000000006</v>
      </c>
      <c r="T425" s="24">
        <f>INDEX('Debêntures ANBIMA'!$P:$P,MATCH(Base!$B406,'Debêntures ANBIMA'!$A:$A,0))</f>
        <v>0.79220877139326196</v>
      </c>
    </row>
    <row r="426" spans="1:20" x14ac:dyDescent="0.35">
      <c r="A426">
        <f>YEAR(B426)</f>
        <v>2011</v>
      </c>
      <c r="B426" s="12">
        <f>DATE(YEAR(G426),MONTH(G426),DAY(1))</f>
        <v>40817</v>
      </c>
      <c r="C426">
        <f>IF(E426&lt;&gt;E425,C425+1,C425)</f>
        <v>41</v>
      </c>
      <c r="D426" s="6" t="s">
        <v>337</v>
      </c>
      <c r="E426" s="6" t="s">
        <v>192</v>
      </c>
      <c r="F426" s="6" t="s">
        <v>346</v>
      </c>
      <c r="G426" s="1">
        <v>40844</v>
      </c>
      <c r="H426" s="1">
        <v>42750</v>
      </c>
      <c r="I426" s="7">
        <f>IF(H426-G426&gt;(365*5),1,0)</f>
        <v>1</v>
      </c>
      <c r="J426" s="6">
        <v>0</v>
      </c>
      <c r="K426" s="9" t="str">
        <f>IF($N426="USD",INDEX('Dólar Spot'!$C:$C,MATCH(Base!$G407,'Dólar Spot'!$A:$A,0)),"")</f>
        <v/>
      </c>
      <c r="L426" s="8">
        <v>100000000</v>
      </c>
      <c r="M426" s="7">
        <f>IF(N426="USD",L426*K426/1000000,L426/1000000)</f>
        <v>100</v>
      </c>
      <c r="N426" s="6" t="s">
        <v>348</v>
      </c>
      <c r="O426" s="9" t="str" cm="1">
        <f t="array" ref="O426">INDEX(Ratings!$B$2:$L$42,_xlfn.XMATCH(Base!E407,Ratings!$A$2:$A$42),_xlfn.XMATCH(YEAR(Base!G407),Ratings!$B$1:$L$1))</f>
        <v>NR</v>
      </c>
      <c r="P426">
        <f>IF(AND(O426&lt;&gt;"BBB-",O426&lt;&gt;"BBB",O426&lt;&gt;"BBB+"),0,1)</f>
        <v>0</v>
      </c>
      <c r="Q426" s="7">
        <f>INDEX('Bonds ANBIMA'!$F:$F,MATCH(Base!$B407,'Bonds ANBIMA'!$A:$A,0))</f>
        <v>2080.5236353372438</v>
      </c>
      <c r="R426" s="21">
        <f>INDEX('Bonds ANBIMA'!$H:$H,MATCH(Base!$B407,'Bonds ANBIMA'!$A:$A,0))</f>
        <v>0.7592592592592593</v>
      </c>
      <c r="S426" s="7">
        <f>INDEX('Debêntures ANBIMA'!$O:$O,MATCH(Base!$B407,'Debêntures ANBIMA'!$A:$A,0))</f>
        <v>173.36775</v>
      </c>
      <c r="T426" s="24">
        <f>INDEX('Debêntures ANBIMA'!$P:$P,MATCH(Base!$B407,'Debêntures ANBIMA'!$A:$A,0))</f>
        <v>0.8812660969248598</v>
      </c>
    </row>
    <row r="427" spans="1:20" x14ac:dyDescent="0.35">
      <c r="A427">
        <f>YEAR(B427)</f>
        <v>2013</v>
      </c>
      <c r="B427" s="12">
        <f>DATE(YEAR(G427),MONTH(G427),DAY(1))</f>
        <v>41609</v>
      </c>
      <c r="C427">
        <f>IF(E427&lt;&gt;E426,C426+1,C426)</f>
        <v>41</v>
      </c>
      <c r="D427" s="6" t="s">
        <v>337</v>
      </c>
      <c r="E427" s="6" t="s">
        <v>192</v>
      </c>
      <c r="F427" s="6" t="s">
        <v>346</v>
      </c>
      <c r="G427" s="1">
        <v>41618</v>
      </c>
      <c r="H427" s="1">
        <v>43444</v>
      </c>
      <c r="I427" s="7">
        <f>IF(H427-G427&gt;(365*5),1,0)</f>
        <v>1</v>
      </c>
      <c r="J427" s="6">
        <v>0</v>
      </c>
      <c r="K427" s="9" t="str">
        <f>IF($N427="USD",INDEX('Dólar Spot'!$C:$C,MATCH(Base!$G408,'Dólar Spot'!$A:$A,0)),"")</f>
        <v/>
      </c>
      <c r="L427" s="8">
        <v>200000000</v>
      </c>
      <c r="M427" s="7">
        <f>IF(N427="USD",L427*K427/1000000,L427/1000000)</f>
        <v>200</v>
      </c>
      <c r="N427" s="6" t="s">
        <v>348</v>
      </c>
      <c r="O427" s="9" t="str" cm="1">
        <f t="array" ref="O427">INDEX(Ratings!$B$2:$L$42,_xlfn.XMATCH(Base!E408,Ratings!$A$2:$A$42),_xlfn.XMATCH(YEAR(Base!G408),Ratings!$B$1:$L$1))</f>
        <v>NR</v>
      </c>
      <c r="P427">
        <f>IF(AND(O427&lt;&gt;"BBB-",O427&lt;&gt;"BBB",O427&lt;&gt;"BBB+"),0,1)</f>
        <v>0</v>
      </c>
      <c r="Q427" s="7">
        <f>INDEX('Bonds ANBIMA'!$F:$F,MATCH(Base!$B408,'Bonds ANBIMA'!$A:$A,0))</f>
        <v>1939.5944668202767</v>
      </c>
      <c r="R427" s="21">
        <f>INDEX('Bonds ANBIMA'!$H:$H,MATCH(Base!$B408,'Bonds ANBIMA'!$A:$A,0))</f>
        <v>0.7592592592592593</v>
      </c>
      <c r="S427" s="7">
        <f>INDEX('Debêntures ANBIMA'!$O:$O,MATCH(Base!$B408,'Debêntures ANBIMA'!$A:$A,0))</f>
        <v>215.26190476190476</v>
      </c>
      <c r="T427" s="24">
        <f>INDEX('Debêntures ANBIMA'!$P:$P,MATCH(Base!$B408,'Debêntures ANBIMA'!$A:$A,0))</f>
        <v>0.85643181064041585</v>
      </c>
    </row>
    <row r="428" spans="1:20" x14ac:dyDescent="0.35">
      <c r="A428">
        <f>YEAR(B428)</f>
        <v>2014</v>
      </c>
      <c r="B428" s="12">
        <f>DATE(YEAR(G428),MONTH(G428),DAY(1))</f>
        <v>41974</v>
      </c>
      <c r="C428">
        <f>IF(E428&lt;&gt;E427,C427+1,C427)</f>
        <v>41</v>
      </c>
      <c r="D428" s="6" t="s">
        <v>337</v>
      </c>
      <c r="E428" s="6" t="s">
        <v>192</v>
      </c>
      <c r="F428" s="6" t="s">
        <v>346</v>
      </c>
      <c r="G428" s="1">
        <v>41988</v>
      </c>
      <c r="H428" s="1">
        <v>43814</v>
      </c>
      <c r="I428" s="7">
        <f>IF(H428-G428&gt;(365*5),1,0)</f>
        <v>1</v>
      </c>
      <c r="J428" s="6">
        <v>0</v>
      </c>
      <c r="K428" s="9" t="str">
        <f>IF($N428="USD",INDEX('Dólar Spot'!$C:$C,MATCH(Base!$G409,'Dólar Spot'!$A:$A,0)),"")</f>
        <v/>
      </c>
      <c r="L428" s="8">
        <v>200000000</v>
      </c>
      <c r="M428" s="7">
        <f>IF(N428="USD",L428*K428/1000000,L428/1000000)</f>
        <v>200</v>
      </c>
      <c r="N428" s="6" t="s">
        <v>348</v>
      </c>
      <c r="O428" s="9" t="str" cm="1">
        <f t="array" ref="O428">INDEX(Ratings!$B$2:$L$42,_xlfn.XMATCH(Base!E409,Ratings!$A$2:$A$42),_xlfn.XMATCH(YEAR(Base!G409),Ratings!$B$1:$L$1))</f>
        <v>NR</v>
      </c>
      <c r="P428">
        <f>IF(AND(O428&lt;&gt;"BBB-",O428&lt;&gt;"BBB",O428&lt;&gt;"BBB+"),0,1)</f>
        <v>0</v>
      </c>
      <c r="Q428" s="7">
        <f>INDEX('Bonds ANBIMA'!$F:$F,MATCH(Base!$B409,'Bonds ANBIMA'!$A:$A,0))</f>
        <v>1631.597148648649</v>
      </c>
      <c r="R428" s="21">
        <f>INDEX('Bonds ANBIMA'!$H:$H,MATCH(Base!$B409,'Bonds ANBIMA'!$A:$A,0))</f>
        <v>0.81690140845070425</v>
      </c>
      <c r="S428" s="7">
        <f>INDEX('Debêntures ANBIMA'!$O:$O,MATCH(Base!$B409,'Debêntures ANBIMA'!$A:$A,0))</f>
        <v>508.70833333333331</v>
      </c>
      <c r="T428" s="24">
        <f>INDEX('Debêntures ANBIMA'!$P:$P,MATCH(Base!$B409,'Debêntures ANBIMA'!$A:$A,0))</f>
        <v>0.81980506183962654</v>
      </c>
    </row>
    <row r="429" spans="1:20" x14ac:dyDescent="0.35">
      <c r="A429">
        <f>YEAR(B429)</f>
        <v>2016</v>
      </c>
      <c r="B429" s="12">
        <f>DATE(YEAR(G429),MONTH(G429),DAY(1))</f>
        <v>42552</v>
      </c>
      <c r="C429">
        <f>IF(E429&lt;&gt;E428,C428+1,C428)</f>
        <v>41</v>
      </c>
      <c r="D429" s="6" t="s">
        <v>337</v>
      </c>
      <c r="E429" s="6" t="s">
        <v>192</v>
      </c>
      <c r="F429" s="6" t="s">
        <v>346</v>
      </c>
      <c r="G429" s="1">
        <v>42563</v>
      </c>
      <c r="H429" s="1">
        <v>43658</v>
      </c>
      <c r="I429" s="7">
        <f>IF(H429-G429&gt;(365*5),1,0)</f>
        <v>0</v>
      </c>
      <c r="J429" s="6">
        <v>0</v>
      </c>
      <c r="K429" s="9" t="str">
        <f>IF($N429="USD",INDEX('Dólar Spot'!$C:$C,MATCH(Base!$G410,'Dólar Spot'!$A:$A,0)),"")</f>
        <v/>
      </c>
      <c r="L429" s="8">
        <v>600000000</v>
      </c>
      <c r="M429" s="7">
        <f>IF(N429="USD",L429*K429/1000000,L429/1000000)</f>
        <v>600</v>
      </c>
      <c r="N429" s="6" t="s">
        <v>348</v>
      </c>
      <c r="O429" s="9" t="str" cm="1">
        <f t="array" ref="O429">INDEX(Ratings!$B$2:$L$42,_xlfn.XMATCH(Base!E410,Ratings!$A$2:$A$42),_xlfn.XMATCH(YEAR(Base!G410),Ratings!$B$1:$L$1))</f>
        <v>NR</v>
      </c>
      <c r="P429">
        <f>IF(AND(O429&lt;&gt;"BBB-",O429&lt;&gt;"BBB",O429&lt;&gt;"BBB+"),0,1)</f>
        <v>0</v>
      </c>
      <c r="Q429" s="7">
        <f>INDEX('Bonds ANBIMA'!$F:$F,MATCH(Base!$B410,'Bonds ANBIMA'!$A:$A,0))</f>
        <v>2080.5236353372438</v>
      </c>
      <c r="R429" s="21">
        <f>INDEX('Bonds ANBIMA'!$H:$H,MATCH(Base!$B410,'Bonds ANBIMA'!$A:$A,0))</f>
        <v>0.7592592592592593</v>
      </c>
      <c r="S429" s="7">
        <f>INDEX('Debêntures ANBIMA'!$O:$O,MATCH(Base!$B410,'Debêntures ANBIMA'!$A:$A,0))</f>
        <v>173.36775</v>
      </c>
      <c r="T429" s="24">
        <f>INDEX('Debêntures ANBIMA'!$P:$P,MATCH(Base!$B410,'Debêntures ANBIMA'!$A:$A,0))</f>
        <v>0.8812660969248598</v>
      </c>
    </row>
    <row r="430" spans="1:20" x14ac:dyDescent="0.35">
      <c r="A430">
        <f>YEAR(B430)</f>
        <v>2016</v>
      </c>
      <c r="B430" s="12">
        <f>DATE(YEAR(G430),MONTH(G430),DAY(1))</f>
        <v>42552</v>
      </c>
      <c r="C430">
        <f>IF(E430&lt;&gt;E429,C429+1,C429)</f>
        <v>41</v>
      </c>
      <c r="D430" s="6" t="s">
        <v>337</v>
      </c>
      <c r="E430" s="6" t="s">
        <v>192</v>
      </c>
      <c r="F430" s="6" t="s">
        <v>346</v>
      </c>
      <c r="G430" s="1">
        <v>42572</v>
      </c>
      <c r="H430" s="1">
        <v>44398</v>
      </c>
      <c r="I430" s="7">
        <f>IF(H430-G430&gt;(365*5),1,0)</f>
        <v>1</v>
      </c>
      <c r="J430" s="6">
        <v>0</v>
      </c>
      <c r="K430" s="9" t="str">
        <f>IF($N430="USD",INDEX('Dólar Spot'!$C:$C,MATCH(Base!$G411,'Dólar Spot'!$A:$A,0)),"")</f>
        <v/>
      </c>
      <c r="L430" s="8">
        <v>150000000</v>
      </c>
      <c r="M430" s="7">
        <f>IF(N430="USD",L430*K430/1000000,L430/1000000)</f>
        <v>150</v>
      </c>
      <c r="N430" s="6" t="s">
        <v>348</v>
      </c>
      <c r="O430" s="9" t="str" cm="1">
        <f t="array" ref="O430">INDEX(Ratings!$B$2:$L$42,_xlfn.XMATCH(Base!E411,Ratings!$A$2:$A$42),_xlfn.XMATCH(YEAR(Base!G411),Ratings!$B$1:$L$1))</f>
        <v>NR</v>
      </c>
      <c r="P430">
        <f>IF(AND(O430&lt;&gt;"BBB-",O430&lt;&gt;"BBB",O430&lt;&gt;"BBB+"),0,1)</f>
        <v>0</v>
      </c>
      <c r="Q430" s="7">
        <f>INDEX('Bonds ANBIMA'!$F:$F,MATCH(Base!$B411,'Bonds ANBIMA'!$A:$A,0))</f>
        <v>2361.6956521739135</v>
      </c>
      <c r="R430" s="21">
        <f>INDEX('Bonds ANBIMA'!$H:$H,MATCH(Base!$B411,'Bonds ANBIMA'!$A:$A,0))</f>
        <v>0.8125</v>
      </c>
      <c r="S430" s="7">
        <f>INDEX('Debêntures ANBIMA'!$O:$O,MATCH(Base!$B411,'Debêntures ANBIMA'!$A:$A,0))</f>
        <v>277.1682222222222</v>
      </c>
      <c r="T430" s="24">
        <f>INDEX('Debêntures ANBIMA'!$P:$P,MATCH(Base!$B411,'Debêntures ANBIMA'!$A:$A,0))</f>
        <v>0.88986216208179325</v>
      </c>
    </row>
    <row r="431" spans="1:20" x14ac:dyDescent="0.35">
      <c r="A431">
        <f>YEAR(B431)</f>
        <v>2017</v>
      </c>
      <c r="B431" s="12">
        <f>DATE(YEAR(G431),MONTH(G431),DAY(1))</f>
        <v>42948</v>
      </c>
      <c r="C431">
        <f>IF(E431&lt;&gt;E430,C430+1,C430)</f>
        <v>41</v>
      </c>
      <c r="D431" s="6" t="s">
        <v>337</v>
      </c>
      <c r="E431" s="6" t="s">
        <v>192</v>
      </c>
      <c r="F431" s="6" t="s">
        <v>346</v>
      </c>
      <c r="G431" s="1">
        <v>42954</v>
      </c>
      <c r="H431" s="1">
        <v>44050</v>
      </c>
      <c r="I431" s="7">
        <f>IF(H431-G431&gt;(365*5),1,0)</f>
        <v>0</v>
      </c>
      <c r="J431" s="6">
        <v>0</v>
      </c>
      <c r="K431" s="9" t="str">
        <f>IF($N431="USD",INDEX('Dólar Spot'!$C:$C,MATCH(Base!$G412,'Dólar Spot'!$A:$A,0)),"")</f>
        <v/>
      </c>
      <c r="L431" s="8">
        <v>800000000</v>
      </c>
      <c r="M431" s="7">
        <f>IF(N431="USD",L431*K431/1000000,L431/1000000)</f>
        <v>800</v>
      </c>
      <c r="N431" s="6" t="s">
        <v>348</v>
      </c>
      <c r="O431" s="9" t="str" cm="1">
        <f t="array" ref="O431">INDEX(Ratings!$B$2:$L$42,_xlfn.XMATCH(Base!E412,Ratings!$A$2:$A$42),_xlfn.XMATCH(YEAR(Base!G412),Ratings!$B$1:$L$1))</f>
        <v>NR</v>
      </c>
      <c r="P431">
        <f>IF(AND(O431&lt;&gt;"BBB-",O431&lt;&gt;"BBB",O431&lt;&gt;"BBB+"),0,1)</f>
        <v>0</v>
      </c>
      <c r="Q431" s="7">
        <f>INDEX('Bonds ANBIMA'!$F:$F,MATCH(Base!$B412,'Bonds ANBIMA'!$A:$A,0))</f>
        <v>2361.6956521739135</v>
      </c>
      <c r="R431" s="21">
        <f>INDEX('Bonds ANBIMA'!$H:$H,MATCH(Base!$B412,'Bonds ANBIMA'!$A:$A,0))</f>
        <v>0.8125</v>
      </c>
      <c r="S431" s="7">
        <f>INDEX('Debêntures ANBIMA'!$O:$O,MATCH(Base!$B412,'Debêntures ANBIMA'!$A:$A,0))</f>
        <v>277.1682222222222</v>
      </c>
      <c r="T431" s="24">
        <f>INDEX('Debêntures ANBIMA'!$P:$P,MATCH(Base!$B412,'Debêntures ANBIMA'!$A:$A,0))</f>
        <v>0.88986216208179325</v>
      </c>
    </row>
    <row r="432" spans="1:20" x14ac:dyDescent="0.35">
      <c r="A432">
        <f>YEAR(B432)</f>
        <v>2016</v>
      </c>
      <c r="B432" s="12">
        <f>DATE(YEAR(G432),MONTH(G432),DAY(1))</f>
        <v>42552</v>
      </c>
      <c r="C432">
        <f>IF(E432&lt;&gt;E431,C431+1,C431)</f>
        <v>41</v>
      </c>
      <c r="D432" s="6" t="s">
        <v>337</v>
      </c>
      <c r="E432" s="6" t="s">
        <v>192</v>
      </c>
      <c r="F432" s="6" t="s">
        <v>346</v>
      </c>
      <c r="G432" s="1">
        <v>42563</v>
      </c>
      <c r="H432" s="1">
        <v>44024</v>
      </c>
      <c r="I432" s="7">
        <f>IF(H432-G432&gt;(365*5),1,0)</f>
        <v>0</v>
      </c>
      <c r="J432" s="6">
        <v>0</v>
      </c>
      <c r="K432" s="9" t="str">
        <f>IF($N432="USD",INDEX('Dólar Spot'!$C:$C,MATCH(Base!$G413,'Dólar Spot'!$A:$A,0)),"")</f>
        <v/>
      </c>
      <c r="L432" s="8">
        <v>300000000</v>
      </c>
      <c r="M432" s="7">
        <f>IF(N432="USD",L432*K432/1000000,L432/1000000)</f>
        <v>300</v>
      </c>
      <c r="N432" s="6" t="s">
        <v>348</v>
      </c>
      <c r="O432" s="9" t="str" cm="1">
        <f t="array" ref="O432">INDEX(Ratings!$B$2:$L$42,_xlfn.XMATCH(Base!E413,Ratings!$A$2:$A$42),_xlfn.XMATCH(YEAR(Base!G413),Ratings!$B$1:$L$1))</f>
        <v>NR</v>
      </c>
      <c r="P432">
        <f>IF(AND(O432&lt;&gt;"BBB-",O432&lt;&gt;"BBB",O432&lt;&gt;"BBB+"),0,1)</f>
        <v>0</v>
      </c>
      <c r="Q432" s="7">
        <f>INDEX('Bonds ANBIMA'!$F:$F,MATCH(Base!$B413,'Bonds ANBIMA'!$A:$A,0))</f>
        <v>1454.1847619047614</v>
      </c>
      <c r="R432" s="21">
        <f>INDEX('Bonds ANBIMA'!$H:$H,MATCH(Base!$B413,'Bonds ANBIMA'!$A:$A,0))</f>
        <v>0.72222222222222221</v>
      </c>
      <c r="S432" s="7">
        <f>INDEX('Debêntures ANBIMA'!$O:$O,MATCH(Base!$B413,'Debêntures ANBIMA'!$A:$A,0))</f>
        <v>298.62667534349998</v>
      </c>
      <c r="T432" s="24">
        <f>INDEX('Debêntures ANBIMA'!$P:$P,MATCH(Base!$B413,'Debêntures ANBIMA'!$A:$A,0))</f>
        <v>0.49713789350807014</v>
      </c>
    </row>
    <row r="433" spans="1:20" x14ac:dyDescent="0.35">
      <c r="A433">
        <f>YEAR(B433)</f>
        <v>2017</v>
      </c>
      <c r="B433" s="12">
        <f>DATE(YEAR(G433),MONTH(G433),DAY(1))</f>
        <v>42948</v>
      </c>
      <c r="C433">
        <f>IF(E433&lt;&gt;E432,C432+1,C432)</f>
        <v>41</v>
      </c>
      <c r="D433" s="6" t="s">
        <v>337</v>
      </c>
      <c r="E433" s="6" t="s">
        <v>192</v>
      </c>
      <c r="F433" s="6" t="s">
        <v>346</v>
      </c>
      <c r="G433" s="1">
        <v>42954</v>
      </c>
      <c r="H433" s="1">
        <v>45511</v>
      </c>
      <c r="I433" s="7">
        <f>IF(H433-G433&gt;(365*5),1,0)</f>
        <v>1</v>
      </c>
      <c r="J433" s="6">
        <v>0</v>
      </c>
      <c r="K433" s="9" t="str">
        <f>IF($N433="USD",INDEX('Dólar Spot'!$C:$C,MATCH(Base!$G414,'Dólar Spot'!$A:$A,0)),"")</f>
        <v/>
      </c>
      <c r="L433" s="8">
        <v>600000000</v>
      </c>
      <c r="M433" s="7">
        <f>IF(N433="USD",L433*K433/1000000,L433/1000000)</f>
        <v>600</v>
      </c>
      <c r="N433" s="6" t="s">
        <v>348</v>
      </c>
      <c r="O433" s="9" t="str" cm="1">
        <f t="array" ref="O433">INDEX(Ratings!$B$2:$L$42,_xlfn.XMATCH(Base!E414,Ratings!$A$2:$A$42),_xlfn.XMATCH(YEAR(Base!G414),Ratings!$B$1:$L$1))</f>
        <v>NR</v>
      </c>
      <c r="P433">
        <f>IF(AND(O433&lt;&gt;"BBB-",O433&lt;&gt;"BBB",O433&lt;&gt;"BBB+"),0,1)</f>
        <v>0</v>
      </c>
      <c r="Q433" s="7">
        <f>INDEX('Bonds ANBIMA'!$F:$F,MATCH(Base!$B414,'Bonds ANBIMA'!$A:$A,0))</f>
        <v>2361.6956521739135</v>
      </c>
      <c r="R433" s="21">
        <f>INDEX('Bonds ANBIMA'!$H:$H,MATCH(Base!$B414,'Bonds ANBIMA'!$A:$A,0))</f>
        <v>0.8125</v>
      </c>
      <c r="S433" s="7">
        <f>INDEX('Debêntures ANBIMA'!$O:$O,MATCH(Base!$B414,'Debêntures ANBIMA'!$A:$A,0))</f>
        <v>277.1682222222222</v>
      </c>
      <c r="T433" s="24">
        <f>INDEX('Debêntures ANBIMA'!$P:$P,MATCH(Base!$B414,'Debêntures ANBIMA'!$A:$A,0))</f>
        <v>0.88986216208179325</v>
      </c>
    </row>
    <row r="434" spans="1:20" x14ac:dyDescent="0.35">
      <c r="A434">
        <f>YEAR(B434)</f>
        <v>2016</v>
      </c>
      <c r="B434" s="12">
        <f>DATE(YEAR(G434),MONTH(G434),DAY(1))</f>
        <v>42552</v>
      </c>
      <c r="C434">
        <f>IF(E434&lt;&gt;E433,C433+1,C433)</f>
        <v>41</v>
      </c>
      <c r="D434" s="6" t="s">
        <v>337</v>
      </c>
      <c r="E434" s="6" t="s">
        <v>192</v>
      </c>
      <c r="F434" s="6" t="s">
        <v>346</v>
      </c>
      <c r="G434" s="1">
        <v>42563</v>
      </c>
      <c r="H434" s="1">
        <v>44389</v>
      </c>
      <c r="I434" s="7">
        <f>IF(H434-G434&gt;(365*5),1,0)</f>
        <v>1</v>
      </c>
      <c r="J434" s="6">
        <v>0</v>
      </c>
      <c r="K434" s="9" t="str">
        <f>IF($N434="USD",INDEX('Dólar Spot'!$C:$C,MATCH(Base!$G415,'Dólar Spot'!$A:$A,0)),"")</f>
        <v/>
      </c>
      <c r="L434" s="8">
        <v>300000000</v>
      </c>
      <c r="M434" s="7">
        <f>IF(N434="USD",L434*K434/1000000,L434/1000000)</f>
        <v>300</v>
      </c>
      <c r="N434" s="6" t="s">
        <v>348</v>
      </c>
      <c r="O434" s="9" t="str" cm="1">
        <f t="array" ref="O434">INDEX(Ratings!$B$2:$L$42,_xlfn.XMATCH(Base!E415,Ratings!$A$2:$A$42),_xlfn.XMATCH(YEAR(Base!G415),Ratings!$B$1:$L$1))</f>
        <v>BBB</v>
      </c>
      <c r="P434">
        <f>IF(AND(O434&lt;&gt;"BBB-",O434&lt;&gt;"BBB",O434&lt;&gt;"BBB+"),0,1)</f>
        <v>1</v>
      </c>
      <c r="Q434" s="7">
        <f>INDEX('Bonds ANBIMA'!$F:$F,MATCH(Base!$B415,'Bonds ANBIMA'!$A:$A,0))</f>
        <v>2318.6105608695661</v>
      </c>
      <c r="R434" s="21">
        <f>INDEX('Bonds ANBIMA'!$H:$H,MATCH(Base!$B415,'Bonds ANBIMA'!$A:$A,0))</f>
        <v>0.61224489795918369</v>
      </c>
      <c r="S434" s="7">
        <f>INDEX('Debêntures ANBIMA'!$O:$O,MATCH(Base!$B415,'Debêntures ANBIMA'!$A:$A,0))</f>
        <v>166.30222222222224</v>
      </c>
      <c r="T434" s="24">
        <f>INDEX('Debêntures ANBIMA'!$P:$P,MATCH(Base!$B415,'Debêntures ANBIMA'!$A:$A,0))</f>
        <v>0.80152212601508743</v>
      </c>
    </row>
    <row r="435" spans="1:20" x14ac:dyDescent="0.35">
      <c r="A435">
        <f>YEAR(B435)</f>
        <v>2018</v>
      </c>
      <c r="B435" s="12">
        <f>DATE(YEAR(G435),MONTH(G435),DAY(1))</f>
        <v>43344</v>
      </c>
      <c r="C435">
        <f>IF(E435&lt;&gt;E434,C434+1,C434)</f>
        <v>41</v>
      </c>
      <c r="D435" s="6" t="s">
        <v>337</v>
      </c>
      <c r="E435" s="6" t="s">
        <v>192</v>
      </c>
      <c r="F435" s="6" t="s">
        <v>346</v>
      </c>
      <c r="G435" s="1">
        <v>43353</v>
      </c>
      <c r="H435" s="1">
        <v>45545</v>
      </c>
      <c r="I435" s="7">
        <f>IF(H435-G435&gt;(365*5),1,0)</f>
        <v>1</v>
      </c>
      <c r="J435" s="6">
        <v>1</v>
      </c>
      <c r="K435" s="9" t="str">
        <f>IF($N435="USD",INDEX('Dólar Spot'!$C:$C,MATCH(Base!$G416,'Dólar Spot'!$A:$A,0)),"")</f>
        <v/>
      </c>
      <c r="L435" s="8">
        <v>1400000000</v>
      </c>
      <c r="M435" s="7">
        <f>IF(N435="USD",L435*K435/1000000,L435/1000000)</f>
        <v>1400</v>
      </c>
      <c r="N435" s="6" t="s">
        <v>348</v>
      </c>
      <c r="O435" s="9" t="str" cm="1">
        <f t="array" ref="O435">INDEX(Ratings!$B$2:$L$42,_xlfn.XMATCH(Base!E416,Ratings!$A$2:$A$42),_xlfn.XMATCH(YEAR(Base!G416),Ratings!$B$1:$L$1))</f>
        <v>BBB</v>
      </c>
      <c r="P435">
        <f>IF(AND(O435&lt;&gt;"BBB-",O435&lt;&gt;"BBB",O435&lt;&gt;"BBB+"),0,1)</f>
        <v>1</v>
      </c>
      <c r="Q435" s="7">
        <f>INDEX('Bonds ANBIMA'!$F:$F,MATCH(Base!$B416,'Bonds ANBIMA'!$A:$A,0))</f>
        <v>7893.9774999999981</v>
      </c>
      <c r="R435" s="21">
        <f>INDEX('Bonds ANBIMA'!$H:$H,MATCH(Base!$B416,'Bonds ANBIMA'!$A:$A,0))</f>
        <v>0.83870967741935487</v>
      </c>
      <c r="S435" s="7">
        <f>INDEX('Debêntures ANBIMA'!$O:$O,MATCH(Base!$B416,'Debêntures ANBIMA'!$A:$A,0))</f>
        <v>292.23871243636364</v>
      </c>
      <c r="T435" s="24">
        <f>INDEX('Debêntures ANBIMA'!$P:$P,MATCH(Base!$B416,'Debêntures ANBIMA'!$A:$A,0))</f>
        <v>0.87974551685015945</v>
      </c>
    </row>
    <row r="436" spans="1:20" x14ac:dyDescent="0.35">
      <c r="A436">
        <f>YEAR(B436)</f>
        <v>2018</v>
      </c>
      <c r="B436" s="12">
        <f>DATE(YEAR(G436),MONTH(G436),DAY(1))</f>
        <v>43374</v>
      </c>
      <c r="C436">
        <f>IF(E436&lt;&gt;E435,C435+1,C435)</f>
        <v>41</v>
      </c>
      <c r="D436" s="6" t="s">
        <v>337</v>
      </c>
      <c r="E436" s="6" t="s">
        <v>192</v>
      </c>
      <c r="F436" s="6" t="s">
        <v>346</v>
      </c>
      <c r="G436" s="1">
        <v>43397</v>
      </c>
      <c r="H436" s="1">
        <v>46319</v>
      </c>
      <c r="I436" s="7">
        <f>IF(H436-G436&gt;(365*5),1,0)</f>
        <v>1</v>
      </c>
      <c r="J436" s="6">
        <v>1</v>
      </c>
      <c r="K436" s="9" t="str">
        <f>IF($N436="USD",INDEX('Dólar Spot'!$C:$C,MATCH(Base!$G417,'Dólar Spot'!$A:$A,0)),"")</f>
        <v/>
      </c>
      <c r="L436" s="8">
        <v>500000000</v>
      </c>
      <c r="M436" s="7">
        <f>IF(N436="USD",L436*K436/1000000,L436/1000000)</f>
        <v>500</v>
      </c>
      <c r="N436" s="6" t="s">
        <v>348</v>
      </c>
      <c r="O436" s="9" t="str" cm="1">
        <f t="array" ref="O436">INDEX(Ratings!$B$2:$L$42,_xlfn.XMATCH(Base!E417,Ratings!$A$2:$A$42),_xlfn.XMATCH(YEAR(Base!G417),Ratings!$B$1:$L$1))</f>
        <v>BBB</v>
      </c>
      <c r="P436">
        <f>IF(AND(O436&lt;&gt;"BBB-",O436&lt;&gt;"BBB",O436&lt;&gt;"BBB+"),0,1)</f>
        <v>1</v>
      </c>
      <c r="Q436" s="7">
        <f>INDEX('Bonds ANBIMA'!$F:$F,MATCH(Base!$B417,'Bonds ANBIMA'!$A:$A,0))</f>
        <v>16886.984523809526</v>
      </c>
      <c r="R436" s="21">
        <f>INDEX('Bonds ANBIMA'!$H:$H,MATCH(Base!$B417,'Bonds ANBIMA'!$A:$A,0))</f>
        <v>0.70588235294117641</v>
      </c>
      <c r="S436" s="7">
        <f>INDEX('Debêntures ANBIMA'!$O:$O,MATCH(Base!$B417,'Debêntures ANBIMA'!$A:$A,0))</f>
        <v>375.80724257500003</v>
      </c>
      <c r="T436" s="24">
        <f>INDEX('Debêntures ANBIMA'!$P:$P,MATCH(Base!$B417,'Debêntures ANBIMA'!$A:$A,0))</f>
        <v>0.80877441343777279</v>
      </c>
    </row>
    <row r="437" spans="1:20" x14ac:dyDescent="0.35">
      <c r="A437">
        <f>YEAR(B437)</f>
        <v>2011</v>
      </c>
      <c r="B437" s="12">
        <f>DATE(YEAR(G437),MONTH(G437),DAY(1))</f>
        <v>40878</v>
      </c>
      <c r="C437">
        <f>IF(E437&lt;&gt;E436,C436+1,C436)</f>
        <v>41</v>
      </c>
      <c r="D437" s="6" t="s">
        <v>337</v>
      </c>
      <c r="E437" s="6" t="s">
        <v>192</v>
      </c>
      <c r="F437" s="6" t="s">
        <v>346</v>
      </c>
      <c r="G437" s="1">
        <v>40889</v>
      </c>
      <c r="H437" s="1">
        <v>43444</v>
      </c>
      <c r="I437" s="7">
        <f>IF(H437-G437&gt;(365*5),1,0)</f>
        <v>1</v>
      </c>
      <c r="J437" s="6">
        <v>0</v>
      </c>
      <c r="K437" s="9" t="str">
        <f>IF($N437="USD",INDEX('Dólar Spot'!$C:$C,MATCH(Base!$G418,'Dólar Spot'!$A:$A,0)),"")</f>
        <v/>
      </c>
      <c r="L437" s="8">
        <v>100000000</v>
      </c>
      <c r="M437" s="7">
        <f>IF(N437="USD",L437*K437/1000000,L437/1000000)</f>
        <v>100</v>
      </c>
      <c r="N437" s="6" t="s">
        <v>348</v>
      </c>
      <c r="O437" s="9" t="str" cm="1">
        <f t="array" ref="O437">INDEX(Ratings!$B$2:$L$42,_xlfn.XMATCH(Base!E418,Ratings!$A$2:$A$42),_xlfn.XMATCH(YEAR(Base!G418),Ratings!$B$1:$L$1))</f>
        <v>BBB</v>
      </c>
      <c r="P437">
        <f>IF(AND(O437&lt;&gt;"BBB-",O437&lt;&gt;"BBB",O437&lt;&gt;"BBB+"),0,1)</f>
        <v>1</v>
      </c>
      <c r="Q437" s="7">
        <f>INDEX('Bonds ANBIMA'!$F:$F,MATCH(Base!$B418,'Bonds ANBIMA'!$A:$A,0))</f>
        <v>2318.6105608695661</v>
      </c>
      <c r="R437" s="21">
        <f>INDEX('Bonds ANBIMA'!$H:$H,MATCH(Base!$B418,'Bonds ANBIMA'!$A:$A,0))</f>
        <v>0.61224489795918369</v>
      </c>
      <c r="S437" s="7">
        <f>INDEX('Debêntures ANBIMA'!$O:$O,MATCH(Base!$B418,'Debêntures ANBIMA'!$A:$A,0))</f>
        <v>166.30222222222224</v>
      </c>
      <c r="T437" s="24">
        <f>INDEX('Debêntures ANBIMA'!$P:$P,MATCH(Base!$B418,'Debêntures ANBIMA'!$A:$A,0))</f>
        <v>0.80152212601508743</v>
      </c>
    </row>
    <row r="438" spans="1:20" x14ac:dyDescent="0.35">
      <c r="A438">
        <f>YEAR(B438)</f>
        <v>2011</v>
      </c>
      <c r="B438" s="12">
        <f>DATE(YEAR(G438),MONTH(G438),DAY(1))</f>
        <v>40878</v>
      </c>
      <c r="C438">
        <f>IF(E438&lt;&gt;E437,C437+1,C437)</f>
        <v>41</v>
      </c>
      <c r="D438" s="6" t="s">
        <v>337</v>
      </c>
      <c r="E438" s="6" t="s">
        <v>192</v>
      </c>
      <c r="F438" s="6" t="s">
        <v>346</v>
      </c>
      <c r="G438" s="1">
        <v>40887</v>
      </c>
      <c r="H438" s="1">
        <v>44175</v>
      </c>
      <c r="I438" s="7">
        <f>IF(H438-G438&gt;(365*5),1,0)</f>
        <v>1</v>
      </c>
      <c r="J438" s="6">
        <v>0</v>
      </c>
      <c r="K438" s="9" t="str">
        <f>IF($N438="USD",INDEX('Dólar Spot'!$C:$C,MATCH(Base!$G419,'Dólar Spot'!$A:$A,0)),"")</f>
        <v/>
      </c>
      <c r="L438" s="8">
        <v>650000000</v>
      </c>
      <c r="M438" s="7">
        <f>IF(N438="USD",L438*K438/1000000,L438/1000000)</f>
        <v>650</v>
      </c>
      <c r="N438" s="6" t="s">
        <v>348</v>
      </c>
      <c r="O438" s="9" t="str" cm="1">
        <f t="array" ref="O438">INDEX(Ratings!$B$2:$L$42,_xlfn.XMATCH(Base!E419,Ratings!$A$2:$A$42),_xlfn.XMATCH(YEAR(Base!G419),Ratings!$B$1:$L$1))</f>
        <v>BBB</v>
      </c>
      <c r="P438">
        <f>IF(AND(O438&lt;&gt;"BBB-",O438&lt;&gt;"BBB",O438&lt;&gt;"BBB+"),0,1)</f>
        <v>1</v>
      </c>
      <c r="Q438" s="7">
        <f>INDEX('Bonds ANBIMA'!$F:$F,MATCH(Base!$B419,'Bonds ANBIMA'!$A:$A,0))</f>
        <v>2318.6105608695661</v>
      </c>
      <c r="R438" s="21">
        <f>INDEX('Bonds ANBIMA'!$H:$H,MATCH(Base!$B419,'Bonds ANBIMA'!$A:$A,0))</f>
        <v>0.61224489795918369</v>
      </c>
      <c r="S438" s="7">
        <f>INDEX('Debêntures ANBIMA'!$O:$O,MATCH(Base!$B419,'Debêntures ANBIMA'!$A:$A,0))</f>
        <v>166.30222222222224</v>
      </c>
      <c r="T438" s="24">
        <f>INDEX('Debêntures ANBIMA'!$P:$P,MATCH(Base!$B419,'Debêntures ANBIMA'!$A:$A,0))</f>
        <v>0.80152212601508743</v>
      </c>
    </row>
    <row r="439" spans="1:20" x14ac:dyDescent="0.35">
      <c r="A439">
        <f>YEAR(B439)</f>
        <v>2012</v>
      </c>
      <c r="B439" s="12">
        <f>DATE(YEAR(G439),MONTH(G439),DAY(1))</f>
        <v>41122</v>
      </c>
      <c r="C439">
        <f>IF(E439&lt;&gt;E438,C438+1,C438)</f>
        <v>41</v>
      </c>
      <c r="D439" s="6" t="s">
        <v>337</v>
      </c>
      <c r="E439" s="6" t="s">
        <v>192</v>
      </c>
      <c r="F439" s="6" t="s">
        <v>346</v>
      </c>
      <c r="G439" s="1">
        <v>41131</v>
      </c>
      <c r="H439" s="1">
        <v>44418</v>
      </c>
      <c r="I439" s="7">
        <f>IF(H439-G439&gt;(365*5),1,0)</f>
        <v>1</v>
      </c>
      <c r="J439" s="6">
        <v>0</v>
      </c>
      <c r="K439" s="9" t="str">
        <f>IF($N439="USD",INDEX('Dólar Spot'!$C:$C,MATCH(Base!$G420,'Dólar Spot'!$A:$A,0)),"")</f>
        <v/>
      </c>
      <c r="L439" s="8">
        <v>800000000</v>
      </c>
      <c r="M439" s="7">
        <f>IF(N439="USD",L439*K439/1000000,L439/1000000)</f>
        <v>800</v>
      </c>
      <c r="N439" s="6" t="s">
        <v>348</v>
      </c>
      <c r="O439" s="9" t="str" cm="1">
        <f t="array" ref="O439">INDEX(Ratings!$B$2:$L$42,_xlfn.XMATCH(Base!E420,Ratings!$A$2:$A$42),_xlfn.XMATCH(YEAR(Base!G420),Ratings!$B$1:$L$1))</f>
        <v>BBB</v>
      </c>
      <c r="P439">
        <f>IF(AND(O439&lt;&gt;"BBB-",O439&lt;&gt;"BBB",O439&lt;&gt;"BBB+"),0,1)</f>
        <v>1</v>
      </c>
      <c r="Q439" s="7">
        <f>INDEX('Bonds ANBIMA'!$F:$F,MATCH(Base!$B420,'Bonds ANBIMA'!$A:$A,0))</f>
        <v>5539.7096969696968</v>
      </c>
      <c r="R439" s="21">
        <f>INDEX('Bonds ANBIMA'!$H:$H,MATCH(Base!$B420,'Bonds ANBIMA'!$A:$A,0))</f>
        <v>0.88235294117647056</v>
      </c>
      <c r="S439" s="7">
        <f>INDEX('Debêntures ANBIMA'!$O:$O,MATCH(Base!$B420,'Debêntures ANBIMA'!$A:$A,0))</f>
        <v>217.85526315789474</v>
      </c>
      <c r="T439" s="24">
        <f>INDEX('Debêntures ANBIMA'!$P:$P,MATCH(Base!$B420,'Debêntures ANBIMA'!$A:$A,0))</f>
        <v>0.70273999605755966</v>
      </c>
    </row>
    <row r="440" spans="1:20" x14ac:dyDescent="0.35">
      <c r="A440">
        <f>YEAR(B440)</f>
        <v>2019</v>
      </c>
      <c r="B440" s="12">
        <f>DATE(YEAR(G440),MONTH(G440),DAY(1))</f>
        <v>43617</v>
      </c>
      <c r="C440">
        <f>IF(E440&lt;&gt;E439,C439+1,C439)</f>
        <v>41</v>
      </c>
      <c r="D440" s="6" t="s">
        <v>337</v>
      </c>
      <c r="E440" s="6" t="s">
        <v>192</v>
      </c>
      <c r="F440" s="6" t="s">
        <v>346</v>
      </c>
      <c r="G440" s="1">
        <v>43636</v>
      </c>
      <c r="H440" s="1">
        <v>46376</v>
      </c>
      <c r="I440" s="7">
        <f>IF(H440-G440&gt;(365*5),1,0)</f>
        <v>1</v>
      </c>
      <c r="J440" s="6">
        <v>1</v>
      </c>
      <c r="K440" s="9" t="str">
        <f>IF($N440="USD",INDEX('Dólar Spot'!$C:$C,MATCH(Base!$G421,'Dólar Spot'!$A:$A,0)),"")</f>
        <v/>
      </c>
      <c r="L440" s="8">
        <v>2500000000</v>
      </c>
      <c r="M440" s="7">
        <f>IF(N440="USD",L440*K440/1000000,L440/1000000)</f>
        <v>2500</v>
      </c>
      <c r="N440" s="6" t="s">
        <v>348</v>
      </c>
      <c r="O440" s="9" t="str" cm="1">
        <f t="array" ref="O440">INDEX(Ratings!$B$2:$L$42,_xlfn.XMATCH(Base!E421,Ratings!$A$2:$A$42),_xlfn.XMATCH(YEAR(Base!G421),Ratings!$B$1:$L$1))</f>
        <v>BBB</v>
      </c>
      <c r="P440">
        <f>IF(AND(O440&lt;&gt;"BBB-",O440&lt;&gt;"BBB",O440&lt;&gt;"BBB+"),0,1)</f>
        <v>1</v>
      </c>
      <c r="Q440" s="7">
        <f>INDEX('Bonds ANBIMA'!$F:$F,MATCH(Base!$B421,'Bonds ANBIMA'!$A:$A,0))</f>
        <v>2820.1840108695651</v>
      </c>
      <c r="R440" s="21">
        <f>INDEX('Bonds ANBIMA'!$H:$H,MATCH(Base!$B421,'Bonds ANBIMA'!$A:$A,0))</f>
        <v>0.70833333333333326</v>
      </c>
      <c r="S440" s="7">
        <f>INDEX('Debêntures ANBIMA'!$O:$O,MATCH(Base!$B421,'Debêntures ANBIMA'!$A:$A,0))</f>
        <v>302.30131578947368</v>
      </c>
      <c r="T440" s="24">
        <f>INDEX('Debêntures ANBIMA'!$P:$P,MATCH(Base!$B421,'Debêntures ANBIMA'!$A:$A,0))</f>
        <v>0.46990765793883493</v>
      </c>
    </row>
    <row r="441" spans="1:20" x14ac:dyDescent="0.35">
      <c r="A441">
        <f>YEAR(B441)</f>
        <v>2020</v>
      </c>
      <c r="B441" s="12">
        <f>DATE(YEAR(G441),MONTH(G441),DAY(1))</f>
        <v>43983</v>
      </c>
      <c r="C441">
        <f>IF(E441&lt;&gt;E440,C440+1,C440)</f>
        <v>41</v>
      </c>
      <c r="D441" s="6" t="s">
        <v>337</v>
      </c>
      <c r="E441" s="6" t="s">
        <v>192</v>
      </c>
      <c r="F441" s="6" t="s">
        <v>346</v>
      </c>
      <c r="G441" s="1">
        <v>43999</v>
      </c>
      <c r="H441" s="1">
        <v>48080</v>
      </c>
      <c r="I441" s="7">
        <f>IF(H441-G441&gt;(365*5),1,0)</f>
        <v>1</v>
      </c>
      <c r="J441" s="6">
        <v>1</v>
      </c>
      <c r="K441" s="9" t="str">
        <f>IF($N441="USD",INDEX('Dólar Spot'!$C:$C,MATCH(Base!$G422,'Dólar Spot'!$A:$A,0)),"")</f>
        <v/>
      </c>
      <c r="L441" s="8">
        <v>2500000000</v>
      </c>
      <c r="M441" s="7">
        <f>IF(N441="USD",L441*K441/1000000,L441/1000000)</f>
        <v>2500</v>
      </c>
      <c r="N441" s="6" t="s">
        <v>348</v>
      </c>
      <c r="O441" s="9" t="str" cm="1">
        <f t="array" ref="O441">INDEX(Ratings!$B$2:$L$42,_xlfn.XMATCH(Base!E422,Ratings!$A$2:$A$42),_xlfn.XMATCH(YEAR(Base!G422),Ratings!$B$1:$L$1))</f>
        <v>BBB-</v>
      </c>
      <c r="P441">
        <f>IF(AND(O441&lt;&gt;"BBB-",O441&lt;&gt;"BBB",O441&lt;&gt;"BBB+"),0,1)</f>
        <v>1</v>
      </c>
      <c r="Q441" s="7">
        <f>INDEX('Bonds ANBIMA'!$F:$F,MATCH(Base!$B422,'Bonds ANBIMA'!$A:$A,0))</f>
        <v>2644.9005681818185</v>
      </c>
      <c r="R441" s="21">
        <f>INDEX('Bonds ANBIMA'!$H:$H,MATCH(Base!$B422,'Bonds ANBIMA'!$A:$A,0))</f>
        <v>0.75</v>
      </c>
      <c r="S441" s="7">
        <f>INDEX('Debêntures ANBIMA'!$O:$O,MATCH(Base!$B422,'Debêntures ANBIMA'!$A:$A,0))</f>
        <v>430.5</v>
      </c>
      <c r="T441" s="24">
        <f>INDEX('Debêntures ANBIMA'!$P:$P,MATCH(Base!$B422,'Debêntures ANBIMA'!$A:$A,0))</f>
        <v>0.14942026169192898</v>
      </c>
    </row>
    <row r="442" spans="1:20" x14ac:dyDescent="0.35">
      <c r="A442">
        <f>YEAR(B442)</f>
        <v>2019</v>
      </c>
      <c r="B442" s="12">
        <f>DATE(YEAR(G442),MONTH(G442),DAY(1))</f>
        <v>43617</v>
      </c>
      <c r="C442">
        <f>IF(E442&lt;&gt;E441,C441+1,C441)</f>
        <v>41</v>
      </c>
      <c r="D442" s="6" t="s">
        <v>337</v>
      </c>
      <c r="E442" s="6" t="s">
        <v>192</v>
      </c>
      <c r="F442" s="6" t="s">
        <v>346</v>
      </c>
      <c r="G442" s="1">
        <v>43636</v>
      </c>
      <c r="H442" s="1">
        <v>47289</v>
      </c>
      <c r="I442" s="7">
        <f>IF(H442-G442&gt;(365*5),1,0)</f>
        <v>1</v>
      </c>
      <c r="J442" s="6">
        <v>1</v>
      </c>
      <c r="K442" s="9" t="str">
        <f>IF($N442="USD",INDEX('Dólar Spot'!$C:$C,MATCH(Base!$G423,'Dólar Spot'!$A:$A,0)),"")</f>
        <v/>
      </c>
      <c r="L442" s="8">
        <v>1000000000</v>
      </c>
      <c r="M442" s="7">
        <f>IF(N442="USD",L442*K442/1000000,L442/1000000)</f>
        <v>1000</v>
      </c>
      <c r="N442" s="6" t="s">
        <v>348</v>
      </c>
      <c r="O442" s="9" t="str" cm="1">
        <f t="array" ref="O442">INDEX(Ratings!$B$2:$L$42,_xlfn.XMATCH(Base!E423,Ratings!$A$2:$A$42),_xlfn.XMATCH(YEAR(Base!G423),Ratings!$B$1:$L$1))</f>
        <v>BBB-</v>
      </c>
      <c r="P442">
        <f>IF(AND(O442&lt;&gt;"BBB-",O442&lt;&gt;"BBB",O442&lt;&gt;"BBB+"),0,1)</f>
        <v>1</v>
      </c>
      <c r="Q442" s="7">
        <f>INDEX('Bonds ANBIMA'!$F:$F,MATCH(Base!$B423,'Bonds ANBIMA'!$A:$A,0))</f>
        <v>1861.792090909091</v>
      </c>
      <c r="R442" s="21">
        <f>INDEX('Bonds ANBIMA'!$H:$H,MATCH(Base!$B423,'Bonds ANBIMA'!$A:$A,0))</f>
        <v>1</v>
      </c>
      <c r="S442" s="7">
        <f>INDEX('Debêntures ANBIMA'!$O:$O,MATCH(Base!$B423,'Debêntures ANBIMA'!$A:$A,0))</f>
        <v>403.11666666666667</v>
      </c>
      <c r="T442" s="24">
        <f>INDEX('Debêntures ANBIMA'!$P:$P,MATCH(Base!$B423,'Debêntures ANBIMA'!$A:$A,0))</f>
        <v>0.27549751243781095</v>
      </c>
    </row>
    <row r="443" spans="1:20" x14ac:dyDescent="0.35">
      <c r="A443">
        <f>YEAR(B443)</f>
        <v>2020</v>
      </c>
      <c r="B443" s="12">
        <f>DATE(YEAR(G443),MONTH(G443),DAY(1))</f>
        <v>43983</v>
      </c>
      <c r="C443">
        <f>IF(E443&lt;&gt;E442,C442+1,C442)</f>
        <v>41</v>
      </c>
      <c r="D443" s="6" t="s">
        <v>337</v>
      </c>
      <c r="E443" s="6" t="s">
        <v>192</v>
      </c>
      <c r="F443" s="6" t="s">
        <v>346</v>
      </c>
      <c r="G443" s="1">
        <v>43999</v>
      </c>
      <c r="H443" s="1">
        <v>48080</v>
      </c>
      <c r="I443" s="7">
        <f>IF(H443-G443&gt;(365*5),1,0)</f>
        <v>1</v>
      </c>
      <c r="J443" s="6">
        <v>1</v>
      </c>
      <c r="K443" s="9" t="str">
        <f>IF($N443="USD",INDEX('Dólar Spot'!$C:$C,MATCH(Base!$G424,'Dólar Spot'!$A:$A,0)),"")</f>
        <v/>
      </c>
      <c r="L443" s="8">
        <v>1500000000</v>
      </c>
      <c r="M443" s="7">
        <f>IF(N443="USD",L443*K443/1000000,L443/1000000)</f>
        <v>1500</v>
      </c>
      <c r="N443" s="6" t="s">
        <v>348</v>
      </c>
      <c r="O443" s="9" t="str" cm="1">
        <f t="array" ref="O443">INDEX(Ratings!$B$2:$L$42,_xlfn.XMATCH(Base!E424,Ratings!$A$2:$A$42),_xlfn.XMATCH(YEAR(Base!G424),Ratings!$B$1:$L$1))</f>
        <v>BBB-</v>
      </c>
      <c r="P443">
        <f>IF(AND(O443&lt;&gt;"BBB-",O443&lt;&gt;"BBB",O443&lt;&gt;"BBB+"),0,1)</f>
        <v>1</v>
      </c>
      <c r="Q443" s="7">
        <f>INDEX('Bonds ANBIMA'!$F:$F,MATCH(Base!$B424,'Bonds ANBIMA'!$A:$A,0))</f>
        <v>3472.3288888888887</v>
      </c>
      <c r="R443" s="21">
        <f>INDEX('Bonds ANBIMA'!$H:$H,MATCH(Base!$B424,'Bonds ANBIMA'!$A:$A,0))</f>
        <v>0.75</v>
      </c>
      <c r="S443" s="7">
        <f>INDEX('Debêntures ANBIMA'!$O:$O,MATCH(Base!$B424,'Debêntures ANBIMA'!$A:$A,0))</f>
        <v>180.88750000000002</v>
      </c>
      <c r="T443" s="24">
        <f>INDEX('Debêntures ANBIMA'!$P:$P,MATCH(Base!$B424,'Debêntures ANBIMA'!$A:$A,0))</f>
        <v>0.60583194503424476</v>
      </c>
    </row>
    <row r="444" spans="1:20" x14ac:dyDescent="0.35">
      <c r="A444">
        <f>YEAR(B444)</f>
        <v>2020</v>
      </c>
      <c r="B444" s="12">
        <f>DATE(YEAR(G444),MONTH(G444),DAY(1))</f>
        <v>44013</v>
      </c>
      <c r="C444">
        <f>IF(E444&lt;&gt;E443,C443+1,C443)</f>
        <v>42</v>
      </c>
      <c r="D444" s="6" t="s">
        <v>197</v>
      </c>
      <c r="E444" s="6" t="s">
        <v>196</v>
      </c>
      <c r="F444" s="6" t="s">
        <v>233</v>
      </c>
      <c r="G444" s="1">
        <v>44022</v>
      </c>
      <c r="H444" s="1" t="s">
        <v>39</v>
      </c>
      <c r="I444" s="7">
        <f>IF(H444-G444&gt;(365*5),1,0)</f>
        <v>1</v>
      </c>
      <c r="J444" s="22">
        <v>1</v>
      </c>
      <c r="K444" s="9">
        <f>IF($N444="USD",INDEX('Dólar Spot'!$C:$C,MATCH(Base!$G425,'Dólar Spot'!$A:$A,0)),"")</f>
        <v>1.5713999999999999</v>
      </c>
      <c r="L444" s="8">
        <v>500000000</v>
      </c>
      <c r="M444" s="7">
        <f>IF(N444="USD",L444*K444/1000000,L444/1000000)</f>
        <v>785.7</v>
      </c>
      <c r="N444" s="6" t="s">
        <v>16</v>
      </c>
      <c r="O444" s="9" t="str" cm="1">
        <f t="array" ref="O444">INDEX(Ratings!$B$2:$L$42,_xlfn.XMATCH(Base!E425,Ratings!$A$2:$A$42),_xlfn.XMATCH(YEAR(Base!G425),Ratings!$B$1:$L$1))</f>
        <v>NR</v>
      </c>
      <c r="P444">
        <f>IF(AND(O444&lt;&gt;"BBB-",O444&lt;&gt;"BBB",O444&lt;&gt;"BBB+"),0,1)</f>
        <v>0</v>
      </c>
      <c r="Q444" s="7">
        <f>INDEX('Bonds ANBIMA'!$F:$F,MATCH(Base!$B425,'Bonds ANBIMA'!$A:$A,0))</f>
        <v>1407.9328902834009</v>
      </c>
      <c r="R444" s="21">
        <f>INDEX('Bonds ANBIMA'!$H:$H,MATCH(Base!$B425,'Bonds ANBIMA'!$A:$A,0))</f>
        <v>0.5862068965517242</v>
      </c>
      <c r="S444" s="7">
        <f>INDEX('Debêntures ANBIMA'!$O:$O,MATCH(Base!$B425,'Debêntures ANBIMA'!$A:$A,0))</f>
        <v>305.92307692307691</v>
      </c>
      <c r="T444" s="24">
        <f>INDEX('Debêntures ANBIMA'!$P:$P,MATCH(Base!$B425,'Debêntures ANBIMA'!$A:$A,0))</f>
        <v>0.94971083731455874</v>
      </c>
    </row>
    <row r="445" spans="1:20" x14ac:dyDescent="0.35">
      <c r="A445">
        <f>YEAR(B445)</f>
        <v>2021</v>
      </c>
      <c r="B445" s="12">
        <f>DATE(YEAR(G445),MONTH(G445),DAY(1))</f>
        <v>44440</v>
      </c>
      <c r="C445">
        <f>IF(E445&lt;&gt;E444,C444+1,C444)</f>
        <v>42</v>
      </c>
      <c r="D445" s="6" t="s">
        <v>197</v>
      </c>
      <c r="E445" s="6" t="s">
        <v>196</v>
      </c>
      <c r="F445" s="6" t="s">
        <v>233</v>
      </c>
      <c r="G445" s="1">
        <v>44461</v>
      </c>
      <c r="H445" s="1" t="s">
        <v>198</v>
      </c>
      <c r="I445" s="7">
        <f>IF(H445-G445&gt;(365*5),1,0)</f>
        <v>1</v>
      </c>
      <c r="J445" s="22">
        <v>1</v>
      </c>
      <c r="K445" s="9">
        <f>IF($N445="USD",INDEX('Dólar Spot'!$C:$C,MATCH(Base!$G426,'Dólar Spot'!$A:$A,0)),"")</f>
        <v>1.6979</v>
      </c>
      <c r="L445" s="8">
        <v>500000000</v>
      </c>
      <c r="M445" s="7">
        <f>IF(N445="USD",L445*K445/1000000,L445/1000000)</f>
        <v>848.95</v>
      </c>
      <c r="N445" s="6" t="s">
        <v>16</v>
      </c>
      <c r="O445" s="9" t="str" cm="1">
        <f t="array" ref="O445">INDEX(Ratings!$B$2:$L$42,_xlfn.XMATCH(Base!E426,Ratings!$A$2:$A$42),_xlfn.XMATCH(YEAR(Base!G426),Ratings!$B$1:$L$1))</f>
        <v>NR</v>
      </c>
      <c r="P445">
        <f>IF(AND(O445&lt;&gt;"BBB-",O445&lt;&gt;"BBB",O445&lt;&gt;"BBB+"),0,1)</f>
        <v>0</v>
      </c>
      <c r="Q445" s="7">
        <f>INDEX('Bonds ANBIMA'!$F:$F,MATCH(Base!$B426,'Bonds ANBIMA'!$A:$A,0))</f>
        <v>1573.284262307692</v>
      </c>
      <c r="R445" s="21">
        <f>INDEX('Bonds ANBIMA'!$H:$H,MATCH(Base!$B426,'Bonds ANBIMA'!$A:$A,0))</f>
        <v>0.5862068965517242</v>
      </c>
      <c r="S445" s="7">
        <f>INDEX('Debêntures ANBIMA'!$O:$O,MATCH(Base!$B426,'Debêntures ANBIMA'!$A:$A,0))</f>
        <v>164.61538461538461</v>
      </c>
      <c r="T445" s="24">
        <f>INDEX('Debêntures ANBIMA'!$P:$P,MATCH(Base!$B426,'Debêntures ANBIMA'!$A:$A,0))</f>
        <v>0.8411214953271029</v>
      </c>
    </row>
    <row r="446" spans="1:20" x14ac:dyDescent="0.35">
      <c r="A446">
        <f>YEAR(B446)</f>
        <v>2012</v>
      </c>
      <c r="B446" s="12">
        <f>DATE(YEAR(G446),MONTH(G446),DAY(1))</f>
        <v>41183</v>
      </c>
      <c r="C446">
        <f>IF(E446&lt;&gt;E445,C445+1,C445)</f>
        <v>42</v>
      </c>
      <c r="D446" s="6" t="s">
        <v>338</v>
      </c>
      <c r="E446" s="6" t="s">
        <v>196</v>
      </c>
      <c r="F446" s="6" t="s">
        <v>346</v>
      </c>
      <c r="G446" s="1">
        <v>41183</v>
      </c>
      <c r="H446" s="1">
        <v>43009</v>
      </c>
      <c r="I446" s="7">
        <f>IF(H446-G446&gt;(365*5),1,0)</f>
        <v>1</v>
      </c>
      <c r="J446" s="22">
        <v>1</v>
      </c>
      <c r="K446" s="9" t="str">
        <f>IF($N446="USD",INDEX('Dólar Spot'!$C:$C,MATCH(Base!$G427,'Dólar Spot'!$A:$A,0)),"")</f>
        <v/>
      </c>
      <c r="L446" s="8">
        <v>750000000</v>
      </c>
      <c r="M446" s="7">
        <f>IF(N446="USD",L446*K446/1000000,L446/1000000)</f>
        <v>750</v>
      </c>
      <c r="N446" s="6" t="s">
        <v>348</v>
      </c>
      <c r="O446" s="9" t="str" cm="1">
        <f t="array" ref="O446">INDEX(Ratings!$B$2:$L$42,_xlfn.XMATCH(Base!E427,Ratings!$A$2:$A$42),_xlfn.XMATCH(YEAR(Base!G427),Ratings!$B$1:$L$1))</f>
        <v>NR</v>
      </c>
      <c r="P446">
        <f>IF(AND(O446&lt;&gt;"BBB-",O446&lt;&gt;"BBB",O446&lt;&gt;"BBB+"),0,1)</f>
        <v>0</v>
      </c>
      <c r="Q446" s="7">
        <f>INDEX('Bonds ANBIMA'!$F:$F,MATCH(Base!$B427,'Bonds ANBIMA'!$A:$A,0))</f>
        <v>2484.8022746031747</v>
      </c>
      <c r="R446" s="21">
        <f>INDEX('Bonds ANBIMA'!$H:$H,MATCH(Base!$B427,'Bonds ANBIMA'!$A:$A,0))</f>
        <v>0.61224489795918369</v>
      </c>
      <c r="S446" s="7">
        <f>INDEX('Debêntures ANBIMA'!$O:$O,MATCH(Base!$B427,'Debêntures ANBIMA'!$A:$A,0))</f>
        <v>210.23809523809524</v>
      </c>
      <c r="T446" s="24">
        <f>INDEX('Debêntures ANBIMA'!$P:$P,MATCH(Base!$B427,'Debêntures ANBIMA'!$A:$A,0))</f>
        <v>0.57593431483578716</v>
      </c>
    </row>
    <row r="447" spans="1:20" x14ac:dyDescent="0.35">
      <c r="A447">
        <f>YEAR(B447)</f>
        <v>2011</v>
      </c>
      <c r="B447" s="12">
        <f>DATE(YEAR(G447),MONTH(G447),DAY(1))</f>
        <v>40634</v>
      </c>
      <c r="C447">
        <f>IF(E447&lt;&gt;E446,C446+1,C446)</f>
        <v>42</v>
      </c>
      <c r="D447" s="6" t="s">
        <v>338</v>
      </c>
      <c r="E447" s="6" t="s">
        <v>196</v>
      </c>
      <c r="F447" s="6" t="s">
        <v>346</v>
      </c>
      <c r="G447" s="1">
        <v>40648</v>
      </c>
      <c r="H447" s="1">
        <v>42475</v>
      </c>
      <c r="I447" s="7">
        <f>IF(H447-G447&gt;(365*5),1,0)</f>
        <v>1</v>
      </c>
      <c r="J447" s="22">
        <v>1</v>
      </c>
      <c r="K447" s="9" t="str">
        <f>IF($N447="USD",INDEX('Dólar Spot'!$C:$C,MATCH(Base!$G428,'Dólar Spot'!$A:$A,0)),"")</f>
        <v/>
      </c>
      <c r="L447" s="8">
        <v>539160000</v>
      </c>
      <c r="M447" s="7">
        <f>IF(N447="USD",L447*K447/1000000,L447/1000000)</f>
        <v>539.16</v>
      </c>
      <c r="N447" s="6" t="s">
        <v>348</v>
      </c>
      <c r="O447" s="9" t="str" cm="1">
        <f t="array" ref="O447">INDEX(Ratings!$B$2:$L$42,_xlfn.XMATCH(Base!E428,Ratings!$A$2:$A$42),_xlfn.XMATCH(YEAR(Base!G428),Ratings!$B$1:$L$1))</f>
        <v>NR</v>
      </c>
      <c r="P447">
        <f>IF(AND(O447&lt;&gt;"BBB-",O447&lt;&gt;"BBB",O447&lt;&gt;"BBB+"),0,1)</f>
        <v>0</v>
      </c>
      <c r="Q447" s="7">
        <f>INDEX('Bonds ANBIMA'!$F:$F,MATCH(Base!$B428,'Bonds ANBIMA'!$A:$A,0))</f>
        <v>2305.1490149560118</v>
      </c>
      <c r="R447" s="21">
        <f>INDEX('Bonds ANBIMA'!$H:$H,MATCH(Base!$B428,'Bonds ANBIMA'!$A:$A,0))</f>
        <v>0.7592592592592593</v>
      </c>
      <c r="S447" s="7">
        <f>INDEX('Debêntures ANBIMA'!$O:$O,MATCH(Base!$B428,'Debêntures ANBIMA'!$A:$A,0))</f>
        <v>173.79140893333334</v>
      </c>
      <c r="T447" s="24">
        <f>INDEX('Debêntures ANBIMA'!$P:$P,MATCH(Base!$B428,'Debêntures ANBIMA'!$A:$A,0))</f>
        <v>0.58460646271963723</v>
      </c>
    </row>
    <row r="448" spans="1:20" x14ac:dyDescent="0.35">
      <c r="A448">
        <f>YEAR(B448)</f>
        <v>2011</v>
      </c>
      <c r="B448" s="12">
        <f>DATE(YEAR(G448),MONTH(G448),DAY(1))</f>
        <v>40725</v>
      </c>
      <c r="C448">
        <f>IF(E448&lt;&gt;E447,C447+1,C447)</f>
        <v>42</v>
      </c>
      <c r="D448" s="6" t="s">
        <v>338</v>
      </c>
      <c r="E448" s="6" t="s">
        <v>196</v>
      </c>
      <c r="F448" s="6" t="s">
        <v>346</v>
      </c>
      <c r="G448" s="1">
        <v>40739</v>
      </c>
      <c r="H448" s="1">
        <v>42566</v>
      </c>
      <c r="I448" s="7">
        <f>IF(H448-G448&gt;(365*5),1,0)</f>
        <v>1</v>
      </c>
      <c r="J448" s="22">
        <v>1</v>
      </c>
      <c r="K448" s="9" t="str">
        <f>IF($N448="USD",INDEX('Dólar Spot'!$C:$C,MATCH(Base!$G429,'Dólar Spot'!$A:$A,0)),"")</f>
        <v/>
      </c>
      <c r="L448" s="8">
        <v>143674826.24000001</v>
      </c>
      <c r="M448" s="7">
        <f>IF(N448="USD",L448*K448/1000000,L448/1000000)</f>
        <v>143.67482624000002</v>
      </c>
      <c r="N448" s="6" t="s">
        <v>348</v>
      </c>
      <c r="O448" s="9" t="str" cm="1">
        <f t="array" ref="O448">INDEX(Ratings!$B$2:$L$42,_xlfn.XMATCH(Base!E429,Ratings!$A$2:$A$42),_xlfn.XMATCH(YEAR(Base!G429),Ratings!$B$1:$L$1))</f>
        <v>BB+</v>
      </c>
      <c r="P448">
        <f>IF(AND(O448&lt;&gt;"BBB-",O448&lt;&gt;"BBB",O448&lt;&gt;"BBB+"),0,1)</f>
        <v>0</v>
      </c>
      <c r="Q448" s="7">
        <f>INDEX('Bonds ANBIMA'!$F:$F,MATCH(Base!$B429,'Bonds ANBIMA'!$A:$A,0))</f>
        <v>2592.4791666666665</v>
      </c>
      <c r="R448" s="21">
        <f>INDEX('Bonds ANBIMA'!$H:$H,MATCH(Base!$B429,'Bonds ANBIMA'!$A:$A,0))</f>
        <v>0.69230769230769229</v>
      </c>
      <c r="S448" s="7">
        <f>INDEX('Debêntures ANBIMA'!$O:$O,MATCH(Base!$B429,'Debêntures ANBIMA'!$A:$A,0))</f>
        <v>411.52395652173919</v>
      </c>
      <c r="T448" s="24">
        <f>INDEX('Debêntures ANBIMA'!$P:$P,MATCH(Base!$B429,'Debêntures ANBIMA'!$A:$A,0))</f>
        <v>0.53086481171751665</v>
      </c>
    </row>
    <row r="449" spans="1:20" x14ac:dyDescent="0.35">
      <c r="A449">
        <f>YEAR(B449)</f>
        <v>2011</v>
      </c>
      <c r="B449" s="12">
        <f>DATE(YEAR(G449),MONTH(G449),DAY(1))</f>
        <v>40634</v>
      </c>
      <c r="C449">
        <f>IF(E449&lt;&gt;E448,C448+1,C448)</f>
        <v>42</v>
      </c>
      <c r="D449" s="6" t="s">
        <v>338</v>
      </c>
      <c r="E449" s="6" t="s">
        <v>196</v>
      </c>
      <c r="F449" s="6" t="s">
        <v>346</v>
      </c>
      <c r="G449" s="1">
        <v>40648</v>
      </c>
      <c r="H449" s="1">
        <v>43205</v>
      </c>
      <c r="I449" s="7">
        <f>IF(H449-G449&gt;(365*5),1,0)</f>
        <v>1</v>
      </c>
      <c r="J449" s="22">
        <v>1</v>
      </c>
      <c r="K449" s="9" t="str">
        <f>IF($N449="USD",INDEX('Dólar Spot'!$C:$C,MATCH(Base!$G430,'Dólar Spot'!$A:$A,0)),"")</f>
        <v/>
      </c>
      <c r="L449" s="8">
        <v>270840000</v>
      </c>
      <c r="M449" s="7">
        <f>IF(N449="USD",L449*K449/1000000,L449/1000000)</f>
        <v>270.83999999999997</v>
      </c>
      <c r="N449" s="6" t="s">
        <v>347</v>
      </c>
      <c r="O449" s="9" t="str" cm="1">
        <f t="array" ref="O449">INDEX(Ratings!$B$2:$L$42,_xlfn.XMATCH(Base!E430,Ratings!$A$2:$A$42),_xlfn.XMATCH(YEAR(Base!G430),Ratings!$B$1:$L$1))</f>
        <v>BB+</v>
      </c>
      <c r="P449">
        <f>IF(AND(O449&lt;&gt;"BBB-",O449&lt;&gt;"BBB",O449&lt;&gt;"BBB+"),0,1)</f>
        <v>0</v>
      </c>
      <c r="Q449" s="7">
        <f>INDEX('Bonds ANBIMA'!$F:$F,MATCH(Base!$B430,'Bonds ANBIMA'!$A:$A,0))</f>
        <v>2592.4791666666665</v>
      </c>
      <c r="R449" s="21">
        <f>INDEX('Bonds ANBIMA'!$H:$H,MATCH(Base!$B430,'Bonds ANBIMA'!$A:$A,0))</f>
        <v>0.69230769230769229</v>
      </c>
      <c r="S449" s="7">
        <f>INDEX('Debêntures ANBIMA'!$O:$O,MATCH(Base!$B430,'Debêntures ANBIMA'!$A:$A,0))</f>
        <v>411.52395652173919</v>
      </c>
      <c r="T449" s="24">
        <f>INDEX('Debêntures ANBIMA'!$P:$P,MATCH(Base!$B430,'Debêntures ANBIMA'!$A:$A,0))</f>
        <v>0.53086481171751665</v>
      </c>
    </row>
    <row r="450" spans="1:20" x14ac:dyDescent="0.35">
      <c r="A450">
        <f>YEAR(B450)</f>
        <v>2011</v>
      </c>
      <c r="B450" s="12">
        <f>DATE(YEAR(G450),MONTH(G450),DAY(1))</f>
        <v>40725</v>
      </c>
      <c r="C450">
        <f>IF(E450&lt;&gt;E449,C449+1,C449)</f>
        <v>42</v>
      </c>
      <c r="D450" s="6" t="s">
        <v>338</v>
      </c>
      <c r="E450" s="6" t="s">
        <v>196</v>
      </c>
      <c r="F450" s="6" t="s">
        <v>346</v>
      </c>
      <c r="G450" s="1">
        <v>40739</v>
      </c>
      <c r="H450" s="1">
        <v>42566</v>
      </c>
      <c r="I450" s="7">
        <f>IF(H450-G450&gt;(365*5),1,0)</f>
        <v>1</v>
      </c>
      <c r="J450" s="22">
        <v>1</v>
      </c>
      <c r="K450" s="9" t="str">
        <f>IF($N450="USD",INDEX('Dólar Spot'!$C:$C,MATCH(Base!$G431,'Dólar Spot'!$A:$A,0)),"")</f>
        <v/>
      </c>
      <c r="L450" s="8">
        <v>216001460.63999999</v>
      </c>
      <c r="M450" s="7">
        <f>IF(N450="USD",L450*K450/1000000,L450/1000000)</f>
        <v>216.00146063999998</v>
      </c>
      <c r="N450" s="6" t="s">
        <v>348</v>
      </c>
      <c r="O450" s="9" t="str" cm="1">
        <f t="array" ref="O450">INDEX(Ratings!$B$2:$L$42,_xlfn.XMATCH(Base!E431,Ratings!$A$2:$A$42),_xlfn.XMATCH(YEAR(Base!G431),Ratings!$B$1:$L$1))</f>
        <v>BB+</v>
      </c>
      <c r="P450">
        <f>IF(AND(O450&lt;&gt;"BBB-",O450&lt;&gt;"BBB",O450&lt;&gt;"BBB+"),0,1)</f>
        <v>0</v>
      </c>
      <c r="Q450" s="7">
        <f>INDEX('Bonds ANBIMA'!$F:$F,MATCH(Base!$B431,'Bonds ANBIMA'!$A:$A,0))</f>
        <v>0</v>
      </c>
      <c r="R450" s="21">
        <f>INDEX('Bonds ANBIMA'!$H:$H,MATCH(Base!$B431,'Bonds ANBIMA'!$A:$A,0))</f>
        <v>0.88888888888888884</v>
      </c>
      <c r="S450" s="7">
        <f>INDEX('Debêntures ANBIMA'!$O:$O,MATCH(Base!$B431,'Debêntures ANBIMA'!$A:$A,0))</f>
        <v>454.29927272727275</v>
      </c>
      <c r="T450" s="24">
        <f>INDEX('Debêntures ANBIMA'!$P:$P,MATCH(Base!$B431,'Debêntures ANBIMA'!$A:$A,0))</f>
        <v>0.76949620572790256</v>
      </c>
    </row>
    <row r="451" spans="1:20" x14ac:dyDescent="0.35">
      <c r="A451">
        <f>YEAR(B451)</f>
        <v>2015</v>
      </c>
      <c r="B451" s="12">
        <f>DATE(YEAR(G451),MONTH(G451),DAY(1))</f>
        <v>42095</v>
      </c>
      <c r="C451">
        <f>IF(E451&lt;&gt;E450,C450+1,C450)</f>
        <v>42</v>
      </c>
      <c r="D451" s="6" t="s">
        <v>338</v>
      </c>
      <c r="E451" s="6" t="s">
        <v>196</v>
      </c>
      <c r="F451" s="6" t="s">
        <v>346</v>
      </c>
      <c r="G451" s="1">
        <v>42118</v>
      </c>
      <c r="H451" s="1">
        <v>43214</v>
      </c>
      <c r="I451" s="7">
        <f>IF(H451-G451&gt;(365*5),1,0)</f>
        <v>0</v>
      </c>
      <c r="J451" s="22">
        <v>1</v>
      </c>
      <c r="K451" s="9" t="str">
        <f>IF($N451="USD",INDEX('Dólar Spot'!$C:$C,MATCH(Base!$G432,'Dólar Spot'!$A:$A,0)),"")</f>
        <v/>
      </c>
      <c r="L451" s="8">
        <v>1400000000</v>
      </c>
      <c r="M451" s="7">
        <f>IF(N451="USD",L451*K451/1000000,L451/1000000)</f>
        <v>1400</v>
      </c>
      <c r="N451" s="6" t="s">
        <v>348</v>
      </c>
      <c r="O451" s="9" t="str" cm="1">
        <f t="array" ref="O451">INDEX(Ratings!$B$2:$L$42,_xlfn.XMATCH(Base!E432,Ratings!$A$2:$A$42),_xlfn.XMATCH(YEAR(Base!G432),Ratings!$B$1:$L$1))</f>
        <v>BB+</v>
      </c>
      <c r="P451">
        <f>IF(AND(O451&lt;&gt;"BBB-",O451&lt;&gt;"BBB",O451&lt;&gt;"BBB+"),0,1)</f>
        <v>0</v>
      </c>
      <c r="Q451" s="7">
        <f>INDEX('Bonds ANBIMA'!$F:$F,MATCH(Base!$B432,'Bonds ANBIMA'!$A:$A,0))</f>
        <v>2592.4791666666665</v>
      </c>
      <c r="R451" s="21">
        <f>INDEX('Bonds ANBIMA'!$H:$H,MATCH(Base!$B432,'Bonds ANBIMA'!$A:$A,0))</f>
        <v>0.69230769230769229</v>
      </c>
      <c r="S451" s="7">
        <f>INDEX('Debêntures ANBIMA'!$O:$O,MATCH(Base!$B432,'Debêntures ANBIMA'!$A:$A,0))</f>
        <v>411.52395652173919</v>
      </c>
      <c r="T451" s="24">
        <f>INDEX('Debêntures ANBIMA'!$P:$P,MATCH(Base!$B432,'Debêntures ANBIMA'!$A:$A,0))</f>
        <v>0.53086481171751665</v>
      </c>
    </row>
    <row r="452" spans="1:20" x14ac:dyDescent="0.35">
      <c r="A452">
        <f>YEAR(B452)</f>
        <v>2019</v>
      </c>
      <c r="B452" s="12">
        <f>DATE(YEAR(G452),MONTH(G452),DAY(1))</f>
        <v>43497</v>
      </c>
      <c r="C452">
        <f>IF(E452&lt;&gt;E451,C451+1,C451)</f>
        <v>42</v>
      </c>
      <c r="D452" s="6" t="s">
        <v>338</v>
      </c>
      <c r="E452" s="6" t="s">
        <v>196</v>
      </c>
      <c r="F452" s="6" t="s">
        <v>346</v>
      </c>
      <c r="G452" s="1">
        <v>43511</v>
      </c>
      <c r="H452" s="1">
        <v>47164</v>
      </c>
      <c r="I452" s="7">
        <f>IF(H452-G452&gt;(365*5),1,0)</f>
        <v>1</v>
      </c>
      <c r="J452" s="22">
        <v>1</v>
      </c>
      <c r="K452" s="9" t="str">
        <f>IF($N452="USD",INDEX('Dólar Spot'!$C:$C,MATCH(Base!$G433,'Dólar Spot'!$A:$A,0)),"")</f>
        <v/>
      </c>
      <c r="L452" s="8">
        <v>600000000</v>
      </c>
      <c r="M452" s="7">
        <f>IF(N452="USD",L452*K452/1000000,L452/1000000)</f>
        <v>600</v>
      </c>
      <c r="N452" s="6" t="s">
        <v>347</v>
      </c>
      <c r="O452" s="9" t="str" cm="1">
        <f t="array" ref="O452">INDEX(Ratings!$B$2:$L$42,_xlfn.XMATCH(Base!E433,Ratings!$A$2:$A$42),_xlfn.XMATCH(YEAR(Base!G433),Ratings!$B$1:$L$1))</f>
        <v>BB+</v>
      </c>
      <c r="P452">
        <f>IF(AND(O452&lt;&gt;"BBB-",O452&lt;&gt;"BBB",O452&lt;&gt;"BBB+"),0,1)</f>
        <v>0</v>
      </c>
      <c r="Q452" s="7">
        <f>INDEX('Bonds ANBIMA'!$F:$F,MATCH(Base!$B433,'Bonds ANBIMA'!$A:$A,0))</f>
        <v>0</v>
      </c>
      <c r="R452" s="21">
        <f>INDEX('Bonds ANBIMA'!$H:$H,MATCH(Base!$B433,'Bonds ANBIMA'!$A:$A,0))</f>
        <v>0.88888888888888884</v>
      </c>
      <c r="S452" s="7">
        <f>INDEX('Debêntures ANBIMA'!$O:$O,MATCH(Base!$B433,'Debêntures ANBIMA'!$A:$A,0))</f>
        <v>454.29927272727275</v>
      </c>
      <c r="T452" s="24">
        <f>INDEX('Debêntures ANBIMA'!$P:$P,MATCH(Base!$B433,'Debêntures ANBIMA'!$A:$A,0))</f>
        <v>0.76949620572790256</v>
      </c>
    </row>
    <row r="453" spans="1:20" x14ac:dyDescent="0.35">
      <c r="A453">
        <f>YEAR(B453)</f>
        <v>2019</v>
      </c>
      <c r="B453" s="12">
        <f>DATE(YEAR(G453),MONTH(G453),DAY(1))</f>
        <v>43739</v>
      </c>
      <c r="C453">
        <f>IF(E453&lt;&gt;E452,C452+1,C452)</f>
        <v>42</v>
      </c>
      <c r="D453" s="6" t="s">
        <v>338</v>
      </c>
      <c r="E453" s="6" t="s">
        <v>196</v>
      </c>
      <c r="F453" s="6" t="s">
        <v>346</v>
      </c>
      <c r="G453" s="1">
        <v>43753</v>
      </c>
      <c r="H453" s="1">
        <v>47406</v>
      </c>
      <c r="I453" s="7">
        <f>IF(H453-G453&gt;(365*5),1,0)</f>
        <v>1</v>
      </c>
      <c r="J453" s="22">
        <v>1</v>
      </c>
      <c r="K453" s="9" t="str">
        <f>IF($N453="USD",INDEX('Dólar Spot'!$C:$C,MATCH(Base!$G434,'Dólar Spot'!$A:$A,0)),"")</f>
        <v/>
      </c>
      <c r="L453" s="8">
        <v>906856000</v>
      </c>
      <c r="M453" s="7">
        <f>IF(N453="USD",L453*K453/1000000,L453/1000000)</f>
        <v>906.85599999999999</v>
      </c>
      <c r="N453" s="6" t="s">
        <v>347</v>
      </c>
      <c r="O453" s="9" t="str" cm="1">
        <f t="array" ref="O453">INDEX(Ratings!$B$2:$L$42,_xlfn.XMATCH(Base!E434,Ratings!$A$2:$A$42),_xlfn.XMATCH(YEAR(Base!G434),Ratings!$B$1:$L$1))</f>
        <v>BB+</v>
      </c>
      <c r="P453">
        <f>IF(AND(O453&lt;&gt;"BBB-",O453&lt;&gt;"BBB",O453&lt;&gt;"BBB+"),0,1)</f>
        <v>0</v>
      </c>
      <c r="Q453" s="7">
        <f>INDEX('Bonds ANBIMA'!$F:$F,MATCH(Base!$B434,'Bonds ANBIMA'!$A:$A,0))</f>
        <v>2592.4791666666665</v>
      </c>
      <c r="R453" s="21">
        <f>INDEX('Bonds ANBIMA'!$H:$H,MATCH(Base!$B434,'Bonds ANBIMA'!$A:$A,0))</f>
        <v>0.69230769230769229</v>
      </c>
      <c r="S453" s="7">
        <f>INDEX('Debêntures ANBIMA'!$O:$O,MATCH(Base!$B434,'Debêntures ANBIMA'!$A:$A,0))</f>
        <v>411.52395652173919</v>
      </c>
      <c r="T453" s="24">
        <f>INDEX('Debêntures ANBIMA'!$P:$P,MATCH(Base!$B434,'Debêntures ANBIMA'!$A:$A,0))</f>
        <v>0.53086481171751665</v>
      </c>
    </row>
    <row r="454" spans="1:20" x14ac:dyDescent="0.35">
      <c r="A454">
        <f>YEAR(B454)</f>
        <v>2020</v>
      </c>
      <c r="B454" s="12">
        <f>DATE(YEAR(G454),MONTH(G454),DAY(1))</f>
        <v>43922</v>
      </c>
      <c r="C454">
        <f>IF(E454&lt;&gt;E453,C453+1,C453)</f>
        <v>42</v>
      </c>
      <c r="D454" s="6" t="s">
        <v>338</v>
      </c>
      <c r="E454" s="6" t="s">
        <v>196</v>
      </c>
      <c r="F454" s="6" t="s">
        <v>346</v>
      </c>
      <c r="G454" s="1">
        <v>43936</v>
      </c>
      <c r="H454" s="1">
        <v>47588</v>
      </c>
      <c r="I454" s="7">
        <f>IF(H454-G454&gt;(365*5),1,0)</f>
        <v>1</v>
      </c>
      <c r="J454" s="22">
        <v>1</v>
      </c>
      <c r="K454" s="9" t="str">
        <f>IF($N454="USD",INDEX('Dólar Spot'!$C:$C,MATCH(Base!$G435,'Dólar Spot'!$A:$A,0)),"")</f>
        <v/>
      </c>
      <c r="L454" s="8">
        <v>800000000</v>
      </c>
      <c r="M454" s="7">
        <f>IF(N454="USD",L454*K454/1000000,L454/1000000)</f>
        <v>800</v>
      </c>
      <c r="N454" s="6" t="s">
        <v>347</v>
      </c>
      <c r="O454" s="9" t="str" cm="1">
        <f t="array" ref="O454">INDEX(Ratings!$B$2:$L$42,_xlfn.XMATCH(Base!E435,Ratings!$A$2:$A$42),_xlfn.XMATCH(YEAR(Base!G435),Ratings!$B$1:$L$1))</f>
        <v>BBB-</v>
      </c>
      <c r="P454">
        <f>IF(AND(O454&lt;&gt;"BBB-",O454&lt;&gt;"BBB",O454&lt;&gt;"BBB+"),0,1)</f>
        <v>1</v>
      </c>
      <c r="Q454" s="7">
        <f>INDEX('Bonds ANBIMA'!$F:$F,MATCH(Base!$B435,'Bonds ANBIMA'!$A:$A,0))</f>
        <v>4115.9473684210543</v>
      </c>
      <c r="R454" s="21">
        <f>INDEX('Bonds ANBIMA'!$H:$H,MATCH(Base!$B435,'Bonds ANBIMA'!$A:$A,0))</f>
        <v>0.75</v>
      </c>
      <c r="S454" s="7">
        <f>INDEX('Debêntures ANBIMA'!$O:$O,MATCH(Base!$B435,'Debêntures ANBIMA'!$A:$A,0))</f>
        <v>298.7746984126984</v>
      </c>
      <c r="T454" s="24">
        <f>INDEX('Debêntures ANBIMA'!$P:$P,MATCH(Base!$B435,'Debêntures ANBIMA'!$A:$A,0))</f>
        <v>0.70014729537622467</v>
      </c>
    </row>
    <row r="455" spans="1:20" x14ac:dyDescent="0.35">
      <c r="A455">
        <f>YEAR(B455)</f>
        <v>2020</v>
      </c>
      <c r="B455" s="12">
        <f>DATE(YEAR(G455),MONTH(G455),DAY(1))</f>
        <v>44166</v>
      </c>
      <c r="C455">
        <f>IF(E455&lt;&gt;E454,C454+1,C454)</f>
        <v>42</v>
      </c>
      <c r="D455" s="6" t="s">
        <v>338</v>
      </c>
      <c r="E455" s="6" t="s">
        <v>196</v>
      </c>
      <c r="F455" s="6" t="s">
        <v>346</v>
      </c>
      <c r="G455" s="1">
        <v>44180</v>
      </c>
      <c r="H455" s="1">
        <v>47832</v>
      </c>
      <c r="I455" s="7">
        <f>IF(H455-G455&gt;(365*5),1,0)</f>
        <v>1</v>
      </c>
      <c r="J455" s="22">
        <v>1</v>
      </c>
      <c r="K455" s="9" t="str">
        <f>IF($N455="USD",INDEX('Dólar Spot'!$C:$C,MATCH(Base!$G436,'Dólar Spot'!$A:$A,0)),"")</f>
        <v/>
      </c>
      <c r="L455" s="8">
        <v>376523000</v>
      </c>
      <c r="M455" s="7">
        <f>IF(N455="USD",L455*K455/1000000,L455/1000000)</f>
        <v>376.52300000000002</v>
      </c>
      <c r="N455" s="6" t="s">
        <v>347</v>
      </c>
      <c r="O455" s="9" t="str" cm="1">
        <f t="array" ref="O455">INDEX(Ratings!$B$2:$L$42,_xlfn.XMATCH(Base!E436,Ratings!$A$2:$A$42),_xlfn.XMATCH(YEAR(Base!G436),Ratings!$B$1:$L$1))</f>
        <v>BBB-</v>
      </c>
      <c r="P455">
        <f>IF(AND(O455&lt;&gt;"BBB-",O455&lt;&gt;"BBB",O455&lt;&gt;"BBB+"),0,1)</f>
        <v>1</v>
      </c>
      <c r="Q455" s="7">
        <f>INDEX('Bonds ANBIMA'!$F:$F,MATCH(Base!$B436,'Bonds ANBIMA'!$A:$A,0))</f>
        <v>1878.9022727272729</v>
      </c>
      <c r="R455" s="21">
        <f>INDEX('Bonds ANBIMA'!$H:$H,MATCH(Base!$B436,'Bonds ANBIMA'!$A:$A,0))</f>
        <v>0.76190476190476186</v>
      </c>
      <c r="S455" s="7">
        <f>INDEX('Debêntures ANBIMA'!$O:$O,MATCH(Base!$B436,'Debêntures ANBIMA'!$A:$A,0))</f>
        <v>209.83</v>
      </c>
      <c r="T455" s="24">
        <f>INDEX('Debêntures ANBIMA'!$P:$P,MATCH(Base!$B436,'Debêntures ANBIMA'!$A:$A,0))</f>
        <v>0.84594032589608081</v>
      </c>
    </row>
    <row r="456" spans="1:20" x14ac:dyDescent="0.35">
      <c r="A456">
        <f>YEAR(B456)</f>
        <v>2021</v>
      </c>
      <c r="B456" s="12">
        <f>DATE(YEAR(G456),MONTH(G456),DAY(1))</f>
        <v>44348</v>
      </c>
      <c r="C456">
        <f>IF(E456&lt;&gt;E455,C455+1,C455)</f>
        <v>42</v>
      </c>
      <c r="D456" s="6" t="s">
        <v>338</v>
      </c>
      <c r="E456" s="6" t="s">
        <v>196</v>
      </c>
      <c r="F456" s="6" t="s">
        <v>346</v>
      </c>
      <c r="G456" s="1">
        <v>44362</v>
      </c>
      <c r="H456" s="1">
        <v>48014</v>
      </c>
      <c r="I456" s="7">
        <f>IF(H456-G456&gt;(365*5),1,0)</f>
        <v>1</v>
      </c>
      <c r="J456" s="22">
        <v>1</v>
      </c>
      <c r="K456" s="9" t="str">
        <f>IF($N456="USD",INDEX('Dólar Spot'!$C:$C,MATCH(Base!$G437,'Dólar Spot'!$A:$A,0)),"")</f>
        <v/>
      </c>
      <c r="L456" s="8">
        <v>784619000</v>
      </c>
      <c r="M456" s="7">
        <f>IF(N456="USD",L456*K456/1000000,L456/1000000)</f>
        <v>784.61900000000003</v>
      </c>
      <c r="N456" s="6" t="s">
        <v>347</v>
      </c>
      <c r="O456" s="9" t="str" cm="1">
        <f t="array" ref="O456">INDEX(Ratings!$B$2:$L$42,_xlfn.XMATCH(Base!E437,Ratings!$A$2:$A$42),_xlfn.XMATCH(YEAR(Base!G437),Ratings!$B$1:$L$1))</f>
        <v>NR</v>
      </c>
      <c r="P456">
        <f>IF(AND(O456&lt;&gt;"BBB-",O456&lt;&gt;"BBB",O456&lt;&gt;"BBB+"),0,1)</f>
        <v>0</v>
      </c>
      <c r="Q456" s="7">
        <f>INDEX('Bonds ANBIMA'!$F:$F,MATCH(Base!$B437,'Bonds ANBIMA'!$A:$A,0))</f>
        <v>1628.7511256410257</v>
      </c>
      <c r="R456" s="21">
        <f>INDEX('Bonds ANBIMA'!$H:$H,MATCH(Base!$B437,'Bonds ANBIMA'!$A:$A,0))</f>
        <v>0.5862068965517242</v>
      </c>
      <c r="S456" s="7">
        <f>INDEX('Debêntures ANBIMA'!$O:$O,MATCH(Base!$B437,'Debêntures ANBIMA'!$A:$A,0))</f>
        <v>365.56824120665999</v>
      </c>
      <c r="T456" s="24">
        <f>INDEX('Debêntures ANBIMA'!$P:$P,MATCH(Base!$B437,'Debêntures ANBIMA'!$A:$A,0))</f>
        <v>0.87989059175080986</v>
      </c>
    </row>
    <row r="457" spans="1:20" x14ac:dyDescent="0.35">
      <c r="A457">
        <f>YEAR(B457)</f>
        <v>2019</v>
      </c>
      <c r="B457" s="12">
        <f>DATE(YEAR(G457),MONTH(G457),DAY(1))</f>
        <v>43739</v>
      </c>
      <c r="C457">
        <f>IF(E457&lt;&gt;E456,C456+1,C456)</f>
        <v>42</v>
      </c>
      <c r="D457" s="6" t="s">
        <v>338</v>
      </c>
      <c r="E457" s="6" t="s">
        <v>196</v>
      </c>
      <c r="F457" s="6" t="s">
        <v>346</v>
      </c>
      <c r="G457" s="1">
        <v>43753</v>
      </c>
      <c r="H457" s="1">
        <v>47406</v>
      </c>
      <c r="I457" s="7">
        <f>IF(H457-G457&gt;(365*5),1,0)</f>
        <v>1</v>
      </c>
      <c r="J457" s="22">
        <v>1</v>
      </c>
      <c r="K457" s="9" t="str">
        <f>IF($N457="USD",INDEX('Dólar Spot'!$C:$C,MATCH(Base!$G438,'Dólar Spot'!$A:$A,0)),"")</f>
        <v/>
      </c>
      <c r="L457" s="8">
        <v>222280000</v>
      </c>
      <c r="M457" s="7">
        <f>IF(N457="USD",L457*K457/1000000,L457/1000000)</f>
        <v>222.28</v>
      </c>
      <c r="N457" s="6" t="s">
        <v>347</v>
      </c>
      <c r="O457" s="9" t="str" cm="1">
        <f t="array" ref="O457">INDEX(Ratings!$B$2:$L$42,_xlfn.XMATCH(Base!E438,Ratings!$A$2:$A$42),_xlfn.XMATCH(YEAR(Base!G438),Ratings!$B$1:$L$1))</f>
        <v>NR</v>
      </c>
      <c r="P457">
        <f>IF(AND(O457&lt;&gt;"BBB-",O457&lt;&gt;"BBB",O457&lt;&gt;"BBB+"),0,1)</f>
        <v>0</v>
      </c>
      <c r="Q457" s="7">
        <f>INDEX('Bonds ANBIMA'!$F:$F,MATCH(Base!$B438,'Bonds ANBIMA'!$A:$A,0))</f>
        <v>1628.7511256410257</v>
      </c>
      <c r="R457" s="21">
        <f>INDEX('Bonds ANBIMA'!$H:$H,MATCH(Base!$B438,'Bonds ANBIMA'!$A:$A,0))</f>
        <v>0.5862068965517242</v>
      </c>
      <c r="S457" s="7">
        <f>INDEX('Debêntures ANBIMA'!$O:$O,MATCH(Base!$B438,'Debêntures ANBIMA'!$A:$A,0))</f>
        <v>365.56824120665999</v>
      </c>
      <c r="T457" s="24">
        <f>INDEX('Debêntures ANBIMA'!$P:$P,MATCH(Base!$B438,'Debêntures ANBIMA'!$A:$A,0))</f>
        <v>0.87989059175080986</v>
      </c>
    </row>
    <row r="458" spans="1:20" x14ac:dyDescent="0.35">
      <c r="A458">
        <f>YEAR(B458)</f>
        <v>2020</v>
      </c>
      <c r="B458" s="12">
        <f>DATE(YEAR(G458),MONTH(G458),DAY(1))</f>
        <v>44166</v>
      </c>
      <c r="C458">
        <f>IF(E458&lt;&gt;E457,C457+1,C457)</f>
        <v>42</v>
      </c>
      <c r="D458" s="6" t="s">
        <v>338</v>
      </c>
      <c r="E458" s="6" t="s">
        <v>196</v>
      </c>
      <c r="F458" s="6" t="s">
        <v>346</v>
      </c>
      <c r="G458" s="1">
        <v>44180</v>
      </c>
      <c r="H458" s="1">
        <v>49658</v>
      </c>
      <c r="I458" s="7">
        <f>IF(H458-G458&gt;(365*5),1,0)</f>
        <v>1</v>
      </c>
      <c r="J458" s="22">
        <v>1</v>
      </c>
      <c r="K458" s="9" t="str">
        <f>IF($N458="USD",INDEX('Dólar Spot'!$C:$C,MATCH(Base!$G439,'Dólar Spot'!$A:$A,0)),"")</f>
        <v/>
      </c>
      <c r="L458" s="8">
        <v>823477000</v>
      </c>
      <c r="M458" s="7">
        <f>IF(N458="USD",L458*K458/1000000,L458/1000000)</f>
        <v>823.47699999999998</v>
      </c>
      <c r="N458" s="6" t="s">
        <v>347</v>
      </c>
      <c r="O458" s="9" t="str" cm="1">
        <f t="array" ref="O458">INDEX(Ratings!$B$2:$L$42,_xlfn.XMATCH(Base!E439,Ratings!$A$2:$A$42),_xlfn.XMATCH(YEAR(Base!G439),Ratings!$B$1:$L$1))</f>
        <v>NR</v>
      </c>
      <c r="P458">
        <f>IF(AND(O458&lt;&gt;"BBB-",O458&lt;&gt;"BBB",O458&lt;&gt;"BBB+"),0,1)</f>
        <v>0</v>
      </c>
      <c r="Q458" s="7">
        <f>INDEX('Bonds ANBIMA'!$F:$F,MATCH(Base!$B439,'Bonds ANBIMA'!$A:$A,0))</f>
        <v>1632.4139870740305</v>
      </c>
      <c r="R458" s="21">
        <f>INDEX('Bonds ANBIMA'!$H:$H,MATCH(Base!$B439,'Bonds ANBIMA'!$A:$A,0))</f>
        <v>0.81690140845070425</v>
      </c>
      <c r="S458" s="7">
        <f>INDEX('Debêntures ANBIMA'!$O:$O,MATCH(Base!$B439,'Debêntures ANBIMA'!$A:$A,0))</f>
        <v>199.00413380818182</v>
      </c>
      <c r="T458" s="24">
        <f>INDEX('Debêntures ANBIMA'!$P:$P,MATCH(Base!$B439,'Debêntures ANBIMA'!$A:$A,0))</f>
        <v>0.75841156422866618</v>
      </c>
    </row>
    <row r="459" spans="1:20" x14ac:dyDescent="0.35">
      <c r="A459">
        <f>YEAR(B459)</f>
        <v>2021</v>
      </c>
      <c r="B459" s="12">
        <f>DATE(YEAR(G459),MONTH(G459),DAY(1))</f>
        <v>44348</v>
      </c>
      <c r="C459">
        <f>IF(E459&lt;&gt;E458,C458+1,C458)</f>
        <v>42</v>
      </c>
      <c r="D459" s="6" t="s">
        <v>338</v>
      </c>
      <c r="E459" s="6" t="s">
        <v>196</v>
      </c>
      <c r="F459" s="6" t="s">
        <v>346</v>
      </c>
      <c r="G459" s="1">
        <v>44362</v>
      </c>
      <c r="H459" s="1">
        <v>49841</v>
      </c>
      <c r="I459" s="7">
        <f>IF(H459-G459&gt;(365*5),1,0)</f>
        <v>1</v>
      </c>
      <c r="J459" s="22">
        <v>1</v>
      </c>
      <c r="K459" s="9" t="str">
        <f>IF($N459="USD",INDEX('Dólar Spot'!$C:$C,MATCH(Base!$G440,'Dólar Spot'!$A:$A,0)),"")</f>
        <v/>
      </c>
      <c r="L459" s="8">
        <v>258815000</v>
      </c>
      <c r="M459" s="7">
        <f>IF(N459="USD",L459*K459/1000000,L459/1000000)</f>
        <v>258.815</v>
      </c>
      <c r="N459" s="6" t="s">
        <v>347</v>
      </c>
      <c r="O459" s="9" t="str" cm="1">
        <f t="array" ref="O459">INDEX(Ratings!$B$2:$L$42,_xlfn.XMATCH(Base!E440,Ratings!$A$2:$A$42),_xlfn.XMATCH(YEAR(Base!G440),Ratings!$B$1:$L$1))</f>
        <v>BBB-</v>
      </c>
      <c r="P459">
        <f>IF(AND(O459&lt;&gt;"BBB-",O459&lt;&gt;"BBB",O459&lt;&gt;"BBB+"),0,1)</f>
        <v>1</v>
      </c>
      <c r="Q459" s="7">
        <f>INDEX('Bonds ANBIMA'!$F:$F,MATCH(Base!$B440,'Bonds ANBIMA'!$A:$A,0))</f>
        <v>2154.1763596491228</v>
      </c>
      <c r="R459" s="21">
        <f>INDEX('Bonds ANBIMA'!$H:$H,MATCH(Base!$B440,'Bonds ANBIMA'!$A:$A,0))</f>
        <v>0.8125</v>
      </c>
      <c r="S459" s="7">
        <f>INDEX('Debêntures ANBIMA'!$O:$O,MATCH(Base!$B440,'Debêntures ANBIMA'!$A:$A,0))</f>
        <v>599.62275384615384</v>
      </c>
      <c r="T459" s="24">
        <f>INDEX('Debêntures ANBIMA'!$P:$P,MATCH(Base!$B440,'Debêntures ANBIMA'!$A:$A,0))</f>
        <v>0.7802031687198594</v>
      </c>
    </row>
    <row r="460" spans="1:20" x14ac:dyDescent="0.35">
      <c r="A460">
        <f>YEAR(B460)</f>
        <v>2021</v>
      </c>
      <c r="B460" s="12">
        <f>DATE(YEAR(G460),MONTH(G460),DAY(1))</f>
        <v>44197</v>
      </c>
      <c r="C460">
        <f>IF(E460&lt;&gt;E459,C459+1,C459)</f>
        <v>43</v>
      </c>
      <c r="D460" s="6" t="s">
        <v>202</v>
      </c>
      <c r="E460" s="6" t="s">
        <v>199</v>
      </c>
      <c r="F460" s="6" t="s">
        <v>233</v>
      </c>
      <c r="G460" s="1">
        <v>44216</v>
      </c>
      <c r="H460" s="1" t="s">
        <v>203</v>
      </c>
      <c r="I460" s="7">
        <f>IF(H460-G460&gt;(365*5),1,0)</f>
        <v>1</v>
      </c>
      <c r="J460" s="22">
        <v>1</v>
      </c>
      <c r="K460" s="9">
        <f>IF($N460="USD",INDEX('Dólar Spot'!$C:$C,MATCH(Base!$G441,'Dólar Spot'!$A:$A,0)),"")</f>
        <v>5.2492000000000001</v>
      </c>
      <c r="L460" s="8">
        <v>625000000</v>
      </c>
      <c r="M460" s="7">
        <f>IF(N460="USD",L460*K460/1000000,L460/1000000)</f>
        <v>3280.75</v>
      </c>
      <c r="N460" s="6" t="s">
        <v>16</v>
      </c>
      <c r="O460" s="9" t="str" cm="1">
        <f t="array" ref="O460">INDEX(Ratings!$B$2:$L$42,_xlfn.XMATCH(Base!E441,Ratings!$A$2:$A$42),_xlfn.XMATCH(YEAR(Base!G441),Ratings!$B$1:$L$1))</f>
        <v>BBB-</v>
      </c>
      <c r="P460">
        <f>IF(AND(O460&lt;&gt;"BBB-",O460&lt;&gt;"BBB",O460&lt;&gt;"BBB+"),0,1)</f>
        <v>1</v>
      </c>
      <c r="Q460" s="7">
        <f>INDEX('Bonds ANBIMA'!$F:$F,MATCH(Base!$B441,'Bonds ANBIMA'!$A:$A,0))</f>
        <v>16886.984523809526</v>
      </c>
      <c r="R460" s="21">
        <f>INDEX('Bonds ANBIMA'!$H:$H,MATCH(Base!$B441,'Bonds ANBIMA'!$A:$A,0))</f>
        <v>0.70588235294117641</v>
      </c>
      <c r="S460" s="7">
        <f>INDEX('Debêntures ANBIMA'!$O:$O,MATCH(Base!$B441,'Debêntures ANBIMA'!$A:$A,0))</f>
        <v>375.80724257500003</v>
      </c>
      <c r="T460" s="24">
        <f>INDEX('Debêntures ANBIMA'!$P:$P,MATCH(Base!$B441,'Debêntures ANBIMA'!$A:$A,0))</f>
        <v>0.80877441343777279</v>
      </c>
    </row>
    <row r="461" spans="1:20" x14ac:dyDescent="0.35">
      <c r="A461">
        <f>YEAR(B461)</f>
        <v>2017</v>
      </c>
      <c r="B461" s="12">
        <f>DATE(YEAR(G461),MONTH(G461),DAY(1))</f>
        <v>42917</v>
      </c>
      <c r="C461">
        <f>IF(E461&lt;&gt;E460,C460+1,C460)</f>
        <v>43</v>
      </c>
      <c r="D461" s="6" t="s">
        <v>202</v>
      </c>
      <c r="E461" s="6" t="s">
        <v>199</v>
      </c>
      <c r="F461" s="6" t="s">
        <v>233</v>
      </c>
      <c r="G461" s="1">
        <v>42942</v>
      </c>
      <c r="H461" s="1" t="s">
        <v>204</v>
      </c>
      <c r="I461" s="7">
        <f>IF(H461-G461&gt;(365*5),1,0)</f>
        <v>1</v>
      </c>
      <c r="J461" s="22">
        <v>1</v>
      </c>
      <c r="K461" s="9" t="e">
        <f>IF($N461="USD",INDEX('Dólar Spot'!$C:$C,MATCH(Base!$G442,'Dólar Spot'!$A:$A,0)),"")</f>
        <v>#N/A</v>
      </c>
      <c r="L461" s="8">
        <v>325000000</v>
      </c>
      <c r="M461" s="7" t="e">
        <f>IF(N461="USD",L461*K461/1000000,L461/1000000)</f>
        <v>#N/A</v>
      </c>
      <c r="N461" s="6" t="s">
        <v>16</v>
      </c>
      <c r="O461" s="9" t="str" cm="1">
        <f t="array" ref="O461">INDEX(Ratings!$B$2:$L$42,_xlfn.XMATCH(Base!E442,Ratings!$A$2:$A$42),_xlfn.XMATCH(YEAR(Base!G442),Ratings!$B$1:$L$1))</f>
        <v>BBB-</v>
      </c>
      <c r="P461">
        <f>IF(AND(O461&lt;&gt;"BBB-",O461&lt;&gt;"BBB",O461&lt;&gt;"BBB+"),0,1)</f>
        <v>1</v>
      </c>
      <c r="Q461" s="7">
        <f>INDEX('Bonds ANBIMA'!$F:$F,MATCH(Base!$B442,'Bonds ANBIMA'!$A:$A,0))</f>
        <v>2154.1763596491228</v>
      </c>
      <c r="R461" s="21">
        <f>INDEX('Bonds ANBIMA'!$H:$H,MATCH(Base!$B442,'Bonds ANBIMA'!$A:$A,0))</f>
        <v>0.8125</v>
      </c>
      <c r="S461" s="7">
        <f>INDEX('Debêntures ANBIMA'!$O:$O,MATCH(Base!$B442,'Debêntures ANBIMA'!$A:$A,0))</f>
        <v>599.62275384615384</v>
      </c>
      <c r="T461" s="24">
        <f>INDEX('Debêntures ANBIMA'!$P:$P,MATCH(Base!$B442,'Debêntures ANBIMA'!$A:$A,0))</f>
        <v>0.7802031687198594</v>
      </c>
    </row>
    <row r="462" spans="1:20" x14ac:dyDescent="0.35">
      <c r="A462">
        <f>YEAR(B462)</f>
        <v>2018</v>
      </c>
      <c r="B462" s="12">
        <f>DATE(YEAR(G462),MONTH(G462),DAY(1))</f>
        <v>43101</v>
      </c>
      <c r="C462">
        <f>IF(E462&lt;&gt;E461,C461+1,C461)</f>
        <v>43</v>
      </c>
      <c r="D462" s="6" t="s">
        <v>202</v>
      </c>
      <c r="E462" s="6" t="s">
        <v>199</v>
      </c>
      <c r="F462" s="6" t="s">
        <v>233</v>
      </c>
      <c r="G462" s="1">
        <v>43116</v>
      </c>
      <c r="H462" s="1" t="s">
        <v>204</v>
      </c>
      <c r="I462" s="7">
        <f>IF(H462-G462&gt;(365*5),1,0)</f>
        <v>1</v>
      </c>
      <c r="J462" s="22">
        <v>1</v>
      </c>
      <c r="K462" s="9">
        <f>IF($N462="USD",INDEX('Dólar Spot'!$C:$C,MATCH(Base!$G443,'Dólar Spot'!$A:$A,0)),"")</f>
        <v>5.2492000000000001</v>
      </c>
      <c r="L462" s="8">
        <v>325000000</v>
      </c>
      <c r="M462" s="7">
        <f>IF(N462="USD",L462*K462/1000000,L462/1000000)</f>
        <v>1705.99</v>
      </c>
      <c r="N462" s="6" t="s">
        <v>16</v>
      </c>
      <c r="O462" s="9" t="str" cm="1">
        <f t="array" ref="O462">INDEX(Ratings!$B$2:$L$42,_xlfn.XMATCH(Base!E443,Ratings!$A$2:$A$42),_xlfn.XMATCH(YEAR(Base!G443),Ratings!$B$1:$L$1))</f>
        <v>BBB-</v>
      </c>
      <c r="P462">
        <f>IF(AND(O462&lt;&gt;"BBB-",O462&lt;&gt;"BBB",O462&lt;&gt;"BBB+"),0,1)</f>
        <v>1</v>
      </c>
      <c r="Q462" s="7">
        <f>INDEX('Bonds ANBIMA'!$F:$F,MATCH(Base!$B443,'Bonds ANBIMA'!$A:$A,0))</f>
        <v>16886.984523809526</v>
      </c>
      <c r="R462" s="21">
        <f>INDEX('Bonds ANBIMA'!$H:$H,MATCH(Base!$B443,'Bonds ANBIMA'!$A:$A,0))</f>
        <v>0.70588235294117641</v>
      </c>
      <c r="S462" s="7">
        <f>INDEX('Debêntures ANBIMA'!$O:$O,MATCH(Base!$B443,'Debêntures ANBIMA'!$A:$A,0))</f>
        <v>375.80724257500003</v>
      </c>
      <c r="T462" s="24">
        <f>INDEX('Debêntures ANBIMA'!$P:$P,MATCH(Base!$B443,'Debêntures ANBIMA'!$A:$A,0))</f>
        <v>0.80877441343777279</v>
      </c>
    </row>
    <row r="463" spans="1:20" x14ac:dyDescent="0.35">
      <c r="A463">
        <f>YEAR(B463)</f>
        <v>2017</v>
      </c>
      <c r="B463" s="12">
        <f>DATE(YEAR(G463),MONTH(G463),DAY(1))</f>
        <v>42795</v>
      </c>
      <c r="C463">
        <f>IF(E463&lt;&gt;E462,C462+1,C462)</f>
        <v>44</v>
      </c>
      <c r="D463" s="6" t="s">
        <v>206</v>
      </c>
      <c r="E463" s="6" t="s">
        <v>205</v>
      </c>
      <c r="F463" s="6" t="s">
        <v>233</v>
      </c>
      <c r="G463" s="1">
        <v>42810</v>
      </c>
      <c r="H463" s="1" t="s">
        <v>207</v>
      </c>
      <c r="I463" s="7">
        <f>IF(H463-G463&gt;(365*5),1,0)</f>
        <v>1</v>
      </c>
      <c r="J463" s="22">
        <v>1</v>
      </c>
      <c r="K463" s="9">
        <f>IF($N463="USD",INDEX('Dólar Spot'!$C:$C,MATCH(Base!$G463,'Dólar Spot'!$A:$A,0)),"")</f>
        <v>3.1074000000000002</v>
      </c>
      <c r="L463" s="8">
        <v>300000000</v>
      </c>
      <c r="M463" s="7">
        <f>IF(N463="USD",L463*K463/1000000,L463/1000000)</f>
        <v>932.22</v>
      </c>
      <c r="N463" s="6" t="s">
        <v>16</v>
      </c>
      <c r="O463" s="9" t="str" cm="1">
        <f t="array" ref="O463">INDEX(Ratings!$B$2:$L$42,_xlfn.XMATCH(Base!E463,Ratings!$A$2:$A$42),_xlfn.XMATCH(YEAR(Base!G463),Ratings!$B$1:$L$1))</f>
        <v>BB+</v>
      </c>
      <c r="P463">
        <f>IF(AND(O463&lt;&gt;"BBB-",O463&lt;&gt;"BBB",O463&lt;&gt;"BBB+"),0,1)</f>
        <v>0</v>
      </c>
      <c r="Q463" s="7">
        <f>INDEX('Bonds ANBIMA'!$F:$F,MATCH(Base!$B463,'Bonds ANBIMA'!$A:$A,0))</f>
        <v>1303.0543478260872</v>
      </c>
      <c r="R463" s="21">
        <f>INDEX('Bonds ANBIMA'!$H:$H,MATCH(Base!$B463,'Bonds ANBIMA'!$A:$A,0))</f>
        <v>0.88235294117647056</v>
      </c>
      <c r="S463" s="7">
        <f>INDEX('Debêntures ANBIMA'!$O:$O,MATCH(Base!$B463,'Debêntures ANBIMA'!$A:$A,0))</f>
        <v>181.09540000000001</v>
      </c>
      <c r="T463" s="24">
        <f>INDEX('Debêntures ANBIMA'!$P:$P,MATCH(Base!$B463,'Debêntures ANBIMA'!$A:$A,0))</f>
        <v>0.39855072463768121</v>
      </c>
    </row>
    <row r="464" spans="1:20" x14ac:dyDescent="0.35">
      <c r="A464">
        <f>YEAR(B464)</f>
        <v>2019</v>
      </c>
      <c r="B464" s="12">
        <f>DATE(YEAR(G464),MONTH(G464),DAY(1))</f>
        <v>43678</v>
      </c>
      <c r="C464">
        <f>IF(E464&lt;&gt;E463,C463+1,C463)</f>
        <v>44</v>
      </c>
      <c r="D464" s="6" t="s">
        <v>206</v>
      </c>
      <c r="E464" s="6" t="s">
        <v>205</v>
      </c>
      <c r="F464" s="6" t="s">
        <v>233</v>
      </c>
      <c r="G464" s="1">
        <v>43691</v>
      </c>
      <c r="H464" s="1" t="s">
        <v>208</v>
      </c>
      <c r="I464" s="7">
        <f>IF(H464-G464&gt;(365*5),1,0)</f>
        <v>1</v>
      </c>
      <c r="J464" s="22">
        <v>1</v>
      </c>
      <c r="K464" s="9">
        <f>IF($N464="USD",INDEX('Dólar Spot'!$C:$C,MATCH(Base!$G464,'Dólar Spot'!$A:$A,0)),"")</f>
        <v>4.0068000000000001</v>
      </c>
      <c r="L464" s="8">
        <v>750000000</v>
      </c>
      <c r="M464" s="7">
        <f>IF(N464="USD",L464*K464/1000000,L464/1000000)</f>
        <v>3005.1</v>
      </c>
      <c r="N464" s="6" t="s">
        <v>16</v>
      </c>
      <c r="O464" s="9" t="str" cm="1">
        <f t="array" ref="O464">INDEX(Ratings!$B$2:$L$42,_xlfn.XMATCH(Base!E464,Ratings!$A$2:$A$42),_xlfn.XMATCH(YEAR(Base!G464),Ratings!$B$1:$L$1))</f>
        <v>BBB-</v>
      </c>
      <c r="P464">
        <f>IF(AND(O464&lt;&gt;"BBB-",O464&lt;&gt;"BBB",O464&lt;&gt;"BBB+"),0,1)</f>
        <v>1</v>
      </c>
      <c r="Q464" s="7">
        <f>INDEX('Bonds ANBIMA'!$F:$F,MATCH(Base!$B464,'Bonds ANBIMA'!$A:$A,0))</f>
        <v>2009.6909090909087</v>
      </c>
      <c r="R464" s="21">
        <f>INDEX('Bonds ANBIMA'!$H:$H,MATCH(Base!$B464,'Bonds ANBIMA'!$A:$A,0))</f>
        <v>0.85714285714285721</v>
      </c>
      <c r="S464" s="7">
        <f>INDEX('Debêntures ANBIMA'!$O:$O,MATCH(Base!$B464,'Debêntures ANBIMA'!$A:$A,0))</f>
        <v>523.03090625000004</v>
      </c>
      <c r="T464" s="24">
        <f>INDEX('Debêntures ANBIMA'!$P:$P,MATCH(Base!$B464,'Debêntures ANBIMA'!$A:$A,0))</f>
        <v>0.41570842895983912</v>
      </c>
    </row>
    <row r="465" spans="1:20" x14ac:dyDescent="0.35">
      <c r="A465">
        <f>YEAR(B465)</f>
        <v>2021</v>
      </c>
      <c r="B465" s="12">
        <f>DATE(YEAR(G465),MONTH(G465),DAY(1))</f>
        <v>44378</v>
      </c>
      <c r="C465">
        <f>IF(E465&lt;&gt;E464,C464+1,C464)</f>
        <v>44</v>
      </c>
      <c r="D465" s="6" t="s">
        <v>206</v>
      </c>
      <c r="E465" s="6" t="s">
        <v>205</v>
      </c>
      <c r="F465" s="6" t="s">
        <v>233</v>
      </c>
      <c r="G465" s="1">
        <v>44378</v>
      </c>
      <c r="H465" s="1" t="s">
        <v>209</v>
      </c>
      <c r="I465" s="7">
        <f>IF(H465-G465&gt;(365*5),1,0)</f>
        <v>1</v>
      </c>
      <c r="J465" s="22">
        <v>1</v>
      </c>
      <c r="K465" s="9">
        <f>IF($N465="USD",INDEX('Dólar Spot'!$C:$C,MATCH(Base!$G465,'Dólar Spot'!$A:$A,0)),"")</f>
        <v>5.0049000000000001</v>
      </c>
      <c r="L465" s="8">
        <v>1000000000</v>
      </c>
      <c r="M465" s="7">
        <f>IF(N465="USD",L465*K465/1000000,L465/1000000)</f>
        <v>5004.8999999999996</v>
      </c>
      <c r="N465" s="6" t="s">
        <v>16</v>
      </c>
      <c r="O465" s="9" t="str" cm="1">
        <f t="array" ref="O465">INDEX(Ratings!$B$2:$L$42,_xlfn.XMATCH(Base!E465,Ratings!$A$2:$A$42),_xlfn.XMATCH(YEAR(Base!G465),Ratings!$B$1:$L$1))</f>
        <v>BBB-</v>
      </c>
      <c r="P465">
        <f>IF(AND(O465&lt;&gt;"BBB-",O465&lt;&gt;"BBB",O465&lt;&gt;"BBB+"),0,1)</f>
        <v>1</v>
      </c>
      <c r="Q465" s="7">
        <f>INDEX('Bonds ANBIMA'!$F:$F,MATCH(Base!$B465,'Bonds ANBIMA'!$A:$A,0))</f>
        <v>3609.2190909090909</v>
      </c>
      <c r="R465" s="21">
        <f>INDEX('Bonds ANBIMA'!$H:$H,MATCH(Base!$B465,'Bonds ANBIMA'!$A:$A,0))</f>
        <v>0.79166666666666663</v>
      </c>
      <c r="S465" s="7">
        <f>INDEX('Debêntures ANBIMA'!$O:$O,MATCH(Base!$B465,'Debêntures ANBIMA'!$A:$A,0))</f>
        <v>568.24089808413794</v>
      </c>
      <c r="T465" s="24">
        <f>INDEX('Debêntures ANBIMA'!$P:$P,MATCH(Base!$B465,'Debêntures ANBIMA'!$A:$A,0))</f>
        <v>0.46520214713834979</v>
      </c>
    </row>
    <row r="466" spans="1:20" x14ac:dyDescent="0.35">
      <c r="A466">
        <f>YEAR(B466)</f>
        <v>2020</v>
      </c>
      <c r="B466" s="12">
        <f>DATE(YEAR(G466),MONTH(G466),DAY(1))</f>
        <v>44075</v>
      </c>
      <c r="C466">
        <f>IF(E466&lt;&gt;E465,C465+1,C465)</f>
        <v>44</v>
      </c>
      <c r="D466" s="6" t="s">
        <v>206</v>
      </c>
      <c r="E466" s="6" t="s">
        <v>205</v>
      </c>
      <c r="F466" s="6" t="s">
        <v>233</v>
      </c>
      <c r="G466" s="1">
        <v>44088</v>
      </c>
      <c r="H466" s="1" t="s">
        <v>210</v>
      </c>
      <c r="I466" s="7">
        <f>IF(H466-G466&gt;(365*5),1,0)</f>
        <v>1</v>
      </c>
      <c r="J466" s="22">
        <v>1</v>
      </c>
      <c r="K466" s="9">
        <f>IF($N466="USD",INDEX('Dólar Spot'!$C:$C,MATCH(Base!$G466,'Dólar Spot'!$A:$A,0)),"")</f>
        <v>5.2977999999999996</v>
      </c>
      <c r="L466" s="8">
        <v>750000000</v>
      </c>
      <c r="M466" s="7">
        <f>IF(N466="USD",L466*K466/1000000,L466/1000000)</f>
        <v>3973.3499999999995</v>
      </c>
      <c r="N466" s="6" t="s">
        <v>16</v>
      </c>
      <c r="O466" s="9" t="str" cm="1">
        <f t="array" ref="O466">INDEX(Ratings!$B$2:$L$42,_xlfn.XMATCH(Base!E466,Ratings!$A$2:$A$42),_xlfn.XMATCH(YEAR(Base!G466),Ratings!$B$1:$L$1))</f>
        <v>BBB-</v>
      </c>
      <c r="P466">
        <f>IF(AND(O466&lt;&gt;"BBB-",O466&lt;&gt;"BBB",O466&lt;&gt;"BBB+"),0,1)</f>
        <v>1</v>
      </c>
      <c r="Q466" s="7">
        <f>INDEX('Bonds ANBIMA'!$F:$F,MATCH(Base!$B466,'Bonds ANBIMA'!$A:$A,0))</f>
        <v>3599.2539682539682</v>
      </c>
      <c r="R466" s="21">
        <f>INDEX('Bonds ANBIMA'!$H:$H,MATCH(Base!$B466,'Bonds ANBIMA'!$A:$A,0))</f>
        <v>0.70370370370370372</v>
      </c>
      <c r="S466" s="7">
        <f>INDEX('Debêntures ANBIMA'!$O:$O,MATCH(Base!$B466,'Debêntures ANBIMA'!$A:$A,0))</f>
        <v>312.55047368421054</v>
      </c>
      <c r="T466" s="24">
        <f>INDEX('Debêntures ANBIMA'!$P:$P,MATCH(Base!$B466,'Debêntures ANBIMA'!$A:$A,0))</f>
        <v>0.90771570084636288</v>
      </c>
    </row>
    <row r="467" spans="1:20" x14ac:dyDescent="0.35">
      <c r="A467">
        <f>YEAR(B467)</f>
        <v>2021</v>
      </c>
      <c r="B467" s="12">
        <f>DATE(YEAR(G467),MONTH(G467),DAY(1))</f>
        <v>44440</v>
      </c>
      <c r="C467">
        <f>IF(E467&lt;&gt;E466,C466+1,C466)</f>
        <v>44</v>
      </c>
      <c r="D467" s="6" t="s">
        <v>206</v>
      </c>
      <c r="E467" s="6" t="s">
        <v>205</v>
      </c>
      <c r="F467" s="6" t="s">
        <v>233</v>
      </c>
      <c r="G467" s="1">
        <v>44452</v>
      </c>
      <c r="H467" s="1" t="s">
        <v>211</v>
      </c>
      <c r="I467" s="7">
        <f>IF(H467-G467&gt;(365*5),1,0)</f>
        <v>1</v>
      </c>
      <c r="J467" s="22">
        <v>1</v>
      </c>
      <c r="K467" s="9">
        <f>IF($N467="USD",INDEX('Dólar Spot'!$C:$C,MATCH(Base!$G467,'Dólar Spot'!$A:$A,0)),"")</f>
        <v>5.2183999999999999</v>
      </c>
      <c r="L467" s="8">
        <v>500000000</v>
      </c>
      <c r="M467" s="7">
        <f>IF(N467="USD",L467*K467/1000000,L467/1000000)</f>
        <v>2609.1999999999998</v>
      </c>
      <c r="N467" s="6" t="s">
        <v>16</v>
      </c>
      <c r="O467" s="9" t="str" cm="1">
        <f t="array" ref="O467">INDEX(Ratings!$B$2:$L$42,_xlfn.XMATCH(Base!E467,Ratings!$A$2:$A$42),_xlfn.XMATCH(YEAR(Base!G467),Ratings!$B$1:$L$1))</f>
        <v>BBB-</v>
      </c>
      <c r="P467">
        <f>IF(AND(O467&lt;&gt;"BBB-",O467&lt;&gt;"BBB",O467&lt;&gt;"BBB+"),0,1)</f>
        <v>1</v>
      </c>
      <c r="Q467" s="7">
        <f>INDEX('Bonds ANBIMA'!$F:$F,MATCH(Base!$B467,'Bonds ANBIMA'!$A:$A,0))</f>
        <v>2639.5452380952379</v>
      </c>
      <c r="R467" s="21">
        <f>INDEX('Bonds ANBIMA'!$H:$H,MATCH(Base!$B467,'Bonds ANBIMA'!$A:$A,0))</f>
        <v>0.75</v>
      </c>
      <c r="S467" s="7">
        <f>INDEX('Debêntures ANBIMA'!$O:$O,MATCH(Base!$B467,'Debêntures ANBIMA'!$A:$A,0))</f>
        <v>333.94772061764706</v>
      </c>
      <c r="T467" s="24">
        <f>INDEX('Debêntures ANBIMA'!$P:$P,MATCH(Base!$B467,'Debêntures ANBIMA'!$A:$A,0))</f>
        <v>0.70859317355091667</v>
      </c>
    </row>
    <row r="468" spans="1:20" x14ac:dyDescent="0.35">
      <c r="A468">
        <f>YEAR(B468)</f>
        <v>2016</v>
      </c>
      <c r="B468" s="12">
        <f>DATE(YEAR(G468),MONTH(G468),DAY(1))</f>
        <v>42552</v>
      </c>
      <c r="C468">
        <f>IF(E468&lt;&gt;E467,C467+1,C467)</f>
        <v>44</v>
      </c>
      <c r="D468" s="6" t="s">
        <v>206</v>
      </c>
      <c r="E468" s="6" t="s">
        <v>205</v>
      </c>
      <c r="F468" s="6" t="s">
        <v>233</v>
      </c>
      <c r="G468" s="1">
        <v>42565</v>
      </c>
      <c r="H468" s="1" t="s">
        <v>212</v>
      </c>
      <c r="I468" s="7">
        <f>IF(H468-G468&gt;(365*5),1,0)</f>
        <v>1</v>
      </c>
      <c r="J468" s="22">
        <v>1</v>
      </c>
      <c r="K468" s="9">
        <f>IF($N468="USD",INDEX('Dólar Spot'!$C:$C,MATCH(Base!$G468,'Dólar Spot'!$A:$A,0)),"")</f>
        <v>3.2305000000000001</v>
      </c>
      <c r="L468" s="8">
        <v>500000000</v>
      </c>
      <c r="M468" s="7">
        <f>IF(N468="USD",L468*K468/1000000,L468/1000000)</f>
        <v>1615.25</v>
      </c>
      <c r="N468" s="6" t="s">
        <v>16</v>
      </c>
      <c r="O468" s="9" t="str" cm="1">
        <f t="array" ref="O468">INDEX(Ratings!$B$2:$L$42,_xlfn.XMATCH(Base!E468,Ratings!$A$2:$A$42),_xlfn.XMATCH(YEAR(Base!G468),Ratings!$B$1:$L$1))</f>
        <v>BB+</v>
      </c>
      <c r="P468">
        <f>IF(AND(O468&lt;&gt;"BBB-",O468&lt;&gt;"BBB",O468&lt;&gt;"BBB+"),0,1)</f>
        <v>0</v>
      </c>
      <c r="Q468" s="7">
        <f>INDEX('Bonds ANBIMA'!$F:$F,MATCH(Base!$B468,'Bonds ANBIMA'!$A:$A,0))</f>
        <v>2592.4791666666665</v>
      </c>
      <c r="R468" s="21">
        <f>INDEX('Bonds ANBIMA'!$H:$H,MATCH(Base!$B468,'Bonds ANBIMA'!$A:$A,0))</f>
        <v>0.69230769230769229</v>
      </c>
      <c r="S468" s="7">
        <f>INDEX('Debêntures ANBIMA'!$O:$O,MATCH(Base!$B468,'Debêntures ANBIMA'!$A:$A,0))</f>
        <v>411.52395652173919</v>
      </c>
      <c r="T468" s="24">
        <f>INDEX('Debêntures ANBIMA'!$P:$P,MATCH(Base!$B468,'Debêntures ANBIMA'!$A:$A,0))</f>
        <v>0.53086481171751665</v>
      </c>
    </row>
    <row r="469" spans="1:20" x14ac:dyDescent="0.35">
      <c r="A469">
        <f>YEAR(B469)</f>
        <v>2018</v>
      </c>
      <c r="B469" s="12">
        <f>DATE(YEAR(G469),MONTH(G469),DAY(1))</f>
        <v>43344</v>
      </c>
      <c r="C469">
        <f>IF(E469&lt;&gt;E468,C468+1,C468)</f>
        <v>44</v>
      </c>
      <c r="D469" s="6" t="s">
        <v>206</v>
      </c>
      <c r="E469" s="6" t="s">
        <v>205</v>
      </c>
      <c r="F469" s="6" t="s">
        <v>233</v>
      </c>
      <c r="G469" s="1">
        <v>43363</v>
      </c>
      <c r="H469" s="1" t="s">
        <v>208</v>
      </c>
      <c r="I469" s="7">
        <f>IF(H469-G469&gt;(365*5),1,0)</f>
        <v>1</v>
      </c>
      <c r="J469" s="22">
        <v>1</v>
      </c>
      <c r="K469" s="9">
        <f>IF($N469="USD",INDEX('Dólar Spot'!$C:$C,MATCH(Base!$G469,'Dólar Spot'!$A:$A,0)),"")</f>
        <v>4.0991</v>
      </c>
      <c r="L469" s="8">
        <v>1000000000</v>
      </c>
      <c r="M469" s="7">
        <f>IF(N469="USD",L469*K469/1000000,L469/1000000)</f>
        <v>4099.1000000000004</v>
      </c>
      <c r="N469" s="6" t="s">
        <v>16</v>
      </c>
      <c r="O469" s="9" t="str" cm="1">
        <f t="array" ref="O469">INDEX(Ratings!$B$2:$L$42,_xlfn.XMATCH(Base!E469,Ratings!$A$2:$A$42),_xlfn.XMATCH(YEAR(Base!G469),Ratings!$B$1:$L$1))</f>
        <v>BBB-</v>
      </c>
      <c r="P469">
        <f>IF(AND(O469&lt;&gt;"BBB-",O469&lt;&gt;"BBB",O469&lt;&gt;"BBB+"),0,1)</f>
        <v>1</v>
      </c>
      <c r="Q469" s="7">
        <f>INDEX('Bonds ANBIMA'!$F:$F,MATCH(Base!$B469,'Bonds ANBIMA'!$A:$A,0))</f>
        <v>4115.9473684210543</v>
      </c>
      <c r="R469" s="21">
        <f>INDEX('Bonds ANBIMA'!$H:$H,MATCH(Base!$B469,'Bonds ANBIMA'!$A:$A,0))</f>
        <v>0.75</v>
      </c>
      <c r="S469" s="7">
        <f>INDEX('Debêntures ANBIMA'!$O:$O,MATCH(Base!$B469,'Debêntures ANBIMA'!$A:$A,0))</f>
        <v>298.7746984126984</v>
      </c>
      <c r="T469" s="24">
        <f>INDEX('Debêntures ANBIMA'!$P:$P,MATCH(Base!$B469,'Debêntures ANBIMA'!$A:$A,0))</f>
        <v>0.70014729537622467</v>
      </c>
    </row>
    <row r="470" spans="1:20" x14ac:dyDescent="0.35">
      <c r="A470">
        <f>YEAR(B470)</f>
        <v>2019</v>
      </c>
      <c r="B470" s="12">
        <f>DATE(YEAR(G470),MONTH(G470),DAY(1))</f>
        <v>43586</v>
      </c>
      <c r="C470">
        <f>IF(E470&lt;&gt;E469,C469+1,C469)</f>
        <v>44</v>
      </c>
      <c r="D470" s="6" t="s">
        <v>206</v>
      </c>
      <c r="E470" s="6" t="s">
        <v>205</v>
      </c>
      <c r="F470" s="6" t="s">
        <v>233</v>
      </c>
      <c r="G470" s="1">
        <v>43614</v>
      </c>
      <c r="H470" s="1" t="s">
        <v>171</v>
      </c>
      <c r="I470" s="7">
        <f>IF(H470-G470&gt;(365*5),1,0)</f>
        <v>1</v>
      </c>
      <c r="J470" s="22">
        <v>1</v>
      </c>
      <c r="K470" s="9">
        <f>IF($N470="USD",INDEX('Dólar Spot'!$C:$C,MATCH(Base!$G470,'Dólar Spot'!$A:$A,0)),"")</f>
        <v>3.9958999999999998</v>
      </c>
      <c r="L470" s="8">
        <v>1000000000</v>
      </c>
      <c r="M470" s="7">
        <f>IF(N470="USD",L470*K470/1000000,L470/1000000)</f>
        <v>3995.9</v>
      </c>
      <c r="N470" s="6" t="s">
        <v>16</v>
      </c>
      <c r="O470" s="9" t="str" cm="1">
        <f t="array" ref="O470">INDEX(Ratings!$B$2:$L$42,_xlfn.XMATCH(Base!E470,Ratings!$A$2:$A$42),_xlfn.XMATCH(YEAR(Base!G470),Ratings!$B$1:$L$1))</f>
        <v>BBB-</v>
      </c>
      <c r="P470">
        <f>IF(AND(O470&lt;&gt;"BBB-",O470&lt;&gt;"BBB",O470&lt;&gt;"BBB+"),0,1)</f>
        <v>1</v>
      </c>
      <c r="Q470" s="7">
        <f>INDEX('Bonds ANBIMA'!$F:$F,MATCH(Base!$B470,'Bonds ANBIMA'!$A:$A,0))</f>
        <v>1000.2295454545454</v>
      </c>
      <c r="R470" s="21">
        <f>INDEX('Bonds ANBIMA'!$H:$H,MATCH(Base!$B470,'Bonds ANBIMA'!$A:$A,0))</f>
        <v>0.84615384615384615</v>
      </c>
      <c r="S470" s="7">
        <f>INDEX('Debêntures ANBIMA'!$O:$O,MATCH(Base!$B470,'Debêntures ANBIMA'!$A:$A,0))</f>
        <v>326.08475806451617</v>
      </c>
      <c r="T470" s="24">
        <f>INDEX('Debêntures ANBIMA'!$P:$P,MATCH(Base!$B470,'Debêntures ANBIMA'!$A:$A,0))</f>
        <v>0.72465429019647709</v>
      </c>
    </row>
    <row r="471" spans="1:20" x14ac:dyDescent="0.35">
      <c r="A471">
        <f>YEAR(B471)</f>
        <v>2019</v>
      </c>
      <c r="B471" s="12">
        <f>DATE(YEAR(G471),MONTH(G471),DAY(1))</f>
        <v>43586</v>
      </c>
      <c r="C471">
        <f>IF(E471&lt;&gt;E470,C470+1,C470)</f>
        <v>44</v>
      </c>
      <c r="D471" s="6" t="s">
        <v>206</v>
      </c>
      <c r="E471" s="6" t="s">
        <v>205</v>
      </c>
      <c r="F471" s="6" t="s">
        <v>233</v>
      </c>
      <c r="G471" s="1">
        <v>43614</v>
      </c>
      <c r="H471" s="1" t="s">
        <v>207</v>
      </c>
      <c r="I471" s="7">
        <f>IF(H471-G471&gt;(365*5),1,0)</f>
        <v>1</v>
      </c>
      <c r="J471" s="22">
        <v>1</v>
      </c>
      <c r="K471" s="9">
        <f>IF($N471="USD",INDEX('Dólar Spot'!$C:$C,MATCH(Base!$G471,'Dólar Spot'!$A:$A,0)),"")</f>
        <v>3.9958999999999998</v>
      </c>
      <c r="L471" s="8">
        <v>250000000</v>
      </c>
      <c r="M471" s="7">
        <f>IF(N471="USD",L471*K471/1000000,L471/1000000)</f>
        <v>998.97500000000002</v>
      </c>
      <c r="N471" s="6" t="s">
        <v>16</v>
      </c>
      <c r="O471" s="9" t="str" cm="1">
        <f t="array" ref="O471">INDEX(Ratings!$B$2:$L$42,_xlfn.XMATCH(Base!E471,Ratings!$A$2:$A$42),_xlfn.XMATCH(YEAR(Base!G471),Ratings!$B$1:$L$1))</f>
        <v>BBB-</v>
      </c>
      <c r="P471">
        <f>IF(AND(O471&lt;&gt;"BBB-",O471&lt;&gt;"BBB",O471&lt;&gt;"BBB+"),0,1)</f>
        <v>1</v>
      </c>
      <c r="Q471" s="7">
        <f>INDEX('Bonds ANBIMA'!$F:$F,MATCH(Base!$B471,'Bonds ANBIMA'!$A:$A,0))</f>
        <v>1000.2295454545454</v>
      </c>
      <c r="R471" s="21">
        <f>INDEX('Bonds ANBIMA'!$H:$H,MATCH(Base!$B471,'Bonds ANBIMA'!$A:$A,0))</f>
        <v>0.84615384615384615</v>
      </c>
      <c r="S471" s="7">
        <f>INDEX('Debêntures ANBIMA'!$O:$O,MATCH(Base!$B471,'Debêntures ANBIMA'!$A:$A,0))</f>
        <v>326.08475806451617</v>
      </c>
      <c r="T471" s="24">
        <f>INDEX('Debêntures ANBIMA'!$P:$P,MATCH(Base!$B471,'Debêntures ANBIMA'!$A:$A,0))</f>
        <v>0.72465429019647709</v>
      </c>
    </row>
    <row r="472" spans="1:20" x14ac:dyDescent="0.35">
      <c r="A472">
        <f>YEAR(B472)</f>
        <v>2017</v>
      </c>
      <c r="B472" s="12">
        <f>DATE(YEAR(G472),MONTH(G472),DAY(1))</f>
        <v>42979</v>
      </c>
      <c r="C472">
        <f>IF(E472&lt;&gt;E471,C471+1,C471)</f>
        <v>44</v>
      </c>
      <c r="D472" s="6" t="s">
        <v>206</v>
      </c>
      <c r="E472" s="6" t="s">
        <v>205</v>
      </c>
      <c r="F472" s="6" t="s">
        <v>233</v>
      </c>
      <c r="G472" s="1">
        <v>42990</v>
      </c>
      <c r="H472" s="1" t="s">
        <v>212</v>
      </c>
      <c r="I472" s="7">
        <f>IF(H472-G472&gt;(365*5),1,0)</f>
        <v>1</v>
      </c>
      <c r="J472" s="22">
        <v>1</v>
      </c>
      <c r="K472" s="9">
        <f>IF($N472="USD",INDEX('Dólar Spot'!$C:$C,MATCH(Base!$G472,'Dólar Spot'!$A:$A,0)),"")</f>
        <v>3.1137999999999999</v>
      </c>
      <c r="L472" s="8">
        <v>200000000</v>
      </c>
      <c r="M472" s="7">
        <f>IF(N472="USD",L472*K472/1000000,L472/1000000)</f>
        <v>622.76</v>
      </c>
      <c r="N472" s="6" t="s">
        <v>16</v>
      </c>
      <c r="O472" s="9" t="str" cm="1">
        <f t="array" ref="O472">INDEX(Ratings!$B$2:$L$42,_xlfn.XMATCH(Base!E472,Ratings!$A$2:$A$42),_xlfn.XMATCH(YEAR(Base!G472),Ratings!$B$1:$L$1))</f>
        <v>BB+</v>
      </c>
      <c r="P472">
        <f>IF(AND(O472&lt;&gt;"BBB-",O472&lt;&gt;"BBB",O472&lt;&gt;"BBB+"),0,1)</f>
        <v>0</v>
      </c>
      <c r="Q472" s="7">
        <f>INDEX('Bonds ANBIMA'!$F:$F,MATCH(Base!$B472,'Bonds ANBIMA'!$A:$A,0))</f>
        <v>2664.0614999999998</v>
      </c>
      <c r="R472" s="21">
        <f>INDEX('Bonds ANBIMA'!$H:$H,MATCH(Base!$B472,'Bonds ANBIMA'!$A:$A,0))</f>
        <v>0.91666666666666663</v>
      </c>
      <c r="S472" s="7">
        <f>INDEX('Debêntures ANBIMA'!$O:$O,MATCH(Base!$B472,'Debêntures ANBIMA'!$A:$A,0))</f>
        <v>205.69069620833338</v>
      </c>
      <c r="T472" s="24">
        <f>INDEX('Debêntures ANBIMA'!$P:$P,MATCH(Base!$B472,'Debêntures ANBIMA'!$A:$A,0))</f>
        <v>0.45742910467193804</v>
      </c>
    </row>
    <row r="473" spans="1:20" x14ac:dyDescent="0.35">
      <c r="A473">
        <f>YEAR(B473)</f>
        <v>2018</v>
      </c>
      <c r="B473" s="12">
        <f>DATE(YEAR(G473),MONTH(G473),DAY(1))</f>
        <v>43405</v>
      </c>
      <c r="C473">
        <f>IF(E473&lt;&gt;E472,C472+1,C472)</f>
        <v>44</v>
      </c>
      <c r="D473" s="6" t="s">
        <v>206</v>
      </c>
      <c r="E473" s="6" t="s">
        <v>205</v>
      </c>
      <c r="F473" s="6" t="s">
        <v>233</v>
      </c>
      <c r="G473" s="1">
        <v>43413</v>
      </c>
      <c r="H473" s="1" t="s">
        <v>207</v>
      </c>
      <c r="I473" s="7">
        <f>IF(H473-G473&gt;(365*5),1,0)</f>
        <v>1</v>
      </c>
      <c r="J473" s="22">
        <v>1</v>
      </c>
      <c r="K473" s="9">
        <f>IF($N473="USD",INDEX('Dólar Spot'!$C:$C,MATCH(Base!$G473,'Dólar Spot'!$A:$A,0)),"")</f>
        <v>3.75</v>
      </c>
      <c r="L473" s="8">
        <v>500000000</v>
      </c>
      <c r="M473" s="7">
        <f>IF(N473="USD",L473*K473/1000000,L473/1000000)</f>
        <v>1875</v>
      </c>
      <c r="N473" s="6" t="s">
        <v>16</v>
      </c>
      <c r="O473" s="9" t="str" cm="1">
        <f t="array" ref="O473">INDEX(Ratings!$B$2:$L$42,_xlfn.XMATCH(Base!E473,Ratings!$A$2:$A$42),_xlfn.XMATCH(YEAR(Base!G473),Ratings!$B$1:$L$1))</f>
        <v>BBB-</v>
      </c>
      <c r="P473">
        <f>IF(AND(O473&lt;&gt;"BBB-",O473&lt;&gt;"BBB",O473&lt;&gt;"BBB+"),0,1)</f>
        <v>1</v>
      </c>
      <c r="Q473" s="7">
        <f>INDEX('Bonds ANBIMA'!$F:$F,MATCH(Base!$B473,'Bonds ANBIMA'!$A:$A,0))</f>
        <v>1893.0074999999995</v>
      </c>
      <c r="R473" s="21">
        <f>INDEX('Bonds ANBIMA'!$H:$H,MATCH(Base!$B473,'Bonds ANBIMA'!$A:$A,0))</f>
        <v>0.77272727272727271</v>
      </c>
      <c r="S473" s="7">
        <f>INDEX('Debêntures ANBIMA'!$O:$O,MATCH(Base!$B473,'Debêntures ANBIMA'!$A:$A,0))</f>
        <v>201.88611111111109</v>
      </c>
      <c r="T473" s="24">
        <f>INDEX('Debêntures ANBIMA'!$P:$P,MATCH(Base!$B473,'Debêntures ANBIMA'!$A:$A,0))</f>
        <v>0.63753451191835664</v>
      </c>
    </row>
    <row r="474" spans="1:20" x14ac:dyDescent="0.35">
      <c r="A474">
        <f>YEAR(B474)</f>
        <v>2017</v>
      </c>
      <c r="B474" s="12">
        <f>DATE(YEAR(G474),MONTH(G474),DAY(1))</f>
        <v>42979</v>
      </c>
      <c r="C474">
        <f>IF(E474&lt;&gt;E473,C473+1,C473)</f>
        <v>44</v>
      </c>
      <c r="D474" s="6" t="s">
        <v>206</v>
      </c>
      <c r="E474" s="6" t="s">
        <v>205</v>
      </c>
      <c r="F474" s="6" t="s">
        <v>233</v>
      </c>
      <c r="G474" s="1">
        <v>42990</v>
      </c>
      <c r="H474" s="1" t="s">
        <v>207</v>
      </c>
      <c r="I474" s="7">
        <f>IF(H474-G474&gt;(365*5),1,0)</f>
        <v>1</v>
      </c>
      <c r="J474" s="22">
        <v>1</v>
      </c>
      <c r="K474" s="9">
        <f>IF($N474="USD",INDEX('Dólar Spot'!$C:$C,MATCH(Base!$G474,'Dólar Spot'!$A:$A,0)),"")</f>
        <v>3.1137999999999999</v>
      </c>
      <c r="L474" s="8">
        <v>200000000</v>
      </c>
      <c r="M474" s="7">
        <f>IF(N474="USD",L474*K474/1000000,L474/1000000)</f>
        <v>622.76</v>
      </c>
      <c r="N474" s="6" t="s">
        <v>16</v>
      </c>
      <c r="O474" s="9" t="str" cm="1">
        <f t="array" ref="O474">INDEX(Ratings!$B$2:$L$42,_xlfn.XMATCH(Base!E474,Ratings!$A$2:$A$42),_xlfn.XMATCH(YEAR(Base!G474),Ratings!$B$1:$L$1))</f>
        <v>BB+</v>
      </c>
      <c r="P474">
        <f>IF(AND(O474&lt;&gt;"BBB-",O474&lt;&gt;"BBB",O474&lt;&gt;"BBB+"),0,1)</f>
        <v>0</v>
      </c>
      <c r="Q474" s="7">
        <f>INDEX('Bonds ANBIMA'!$F:$F,MATCH(Base!$B474,'Bonds ANBIMA'!$A:$A,0))</f>
        <v>2664.0614999999998</v>
      </c>
      <c r="R474" s="21">
        <f>INDEX('Bonds ANBIMA'!$H:$H,MATCH(Base!$B474,'Bonds ANBIMA'!$A:$A,0))</f>
        <v>0.91666666666666663</v>
      </c>
      <c r="S474" s="7">
        <f>INDEX('Debêntures ANBIMA'!$O:$O,MATCH(Base!$B474,'Debêntures ANBIMA'!$A:$A,0))</f>
        <v>205.69069620833338</v>
      </c>
      <c r="T474" s="24">
        <f>INDEX('Debêntures ANBIMA'!$P:$P,MATCH(Base!$B474,'Debêntures ANBIMA'!$A:$A,0))</f>
        <v>0.45742910467193804</v>
      </c>
    </row>
    <row r="475" spans="1:20" x14ac:dyDescent="0.35">
      <c r="A475">
        <f>YEAR(B475)</f>
        <v>2018</v>
      </c>
      <c r="B475" s="12">
        <f>DATE(YEAR(G475),MONTH(G475),DAY(1))</f>
        <v>43344</v>
      </c>
      <c r="C475">
        <f>IF(E475&lt;&gt;E474,C474+1,C474)</f>
        <v>44</v>
      </c>
      <c r="D475" s="6" t="s">
        <v>206</v>
      </c>
      <c r="E475" s="6" t="s">
        <v>205</v>
      </c>
      <c r="F475" s="6" t="s">
        <v>233</v>
      </c>
      <c r="G475" s="1">
        <v>43363</v>
      </c>
      <c r="H475" s="1" t="s">
        <v>208</v>
      </c>
      <c r="I475" s="7">
        <f>IF(H475-G475&gt;(365*5),1,0)</f>
        <v>1</v>
      </c>
      <c r="J475" s="22">
        <v>1</v>
      </c>
      <c r="K475" s="9">
        <f>IF($N475="USD",INDEX('Dólar Spot'!$C:$C,MATCH(Base!$G475,'Dólar Spot'!$A:$A,0)),"")</f>
        <v>4.0991</v>
      </c>
      <c r="L475" s="8">
        <v>1000000000</v>
      </c>
      <c r="M475" s="7">
        <f>IF(N475="USD",L475*K475/1000000,L475/1000000)</f>
        <v>4099.1000000000004</v>
      </c>
      <c r="N475" s="6" t="s">
        <v>16</v>
      </c>
      <c r="O475" s="9" t="str" cm="1">
        <f t="array" ref="O475">INDEX(Ratings!$B$2:$L$42,_xlfn.XMATCH(Base!E475,Ratings!$A$2:$A$42),_xlfn.XMATCH(YEAR(Base!G475),Ratings!$B$1:$L$1))</f>
        <v>BBB-</v>
      </c>
      <c r="P475">
        <f>IF(AND(O475&lt;&gt;"BBB-",O475&lt;&gt;"BBB",O475&lt;&gt;"BBB+"),0,1)</f>
        <v>1</v>
      </c>
      <c r="Q475" s="7">
        <f>INDEX('Bonds ANBIMA'!$F:$F,MATCH(Base!$B475,'Bonds ANBIMA'!$A:$A,0))</f>
        <v>4115.9473684210543</v>
      </c>
      <c r="R475" s="21">
        <f>INDEX('Bonds ANBIMA'!$H:$H,MATCH(Base!$B475,'Bonds ANBIMA'!$A:$A,0))</f>
        <v>0.75</v>
      </c>
      <c r="S475" s="7">
        <f>INDEX('Debêntures ANBIMA'!$O:$O,MATCH(Base!$B475,'Debêntures ANBIMA'!$A:$A,0))</f>
        <v>298.7746984126984</v>
      </c>
      <c r="T475" s="24">
        <f>INDEX('Debêntures ANBIMA'!$P:$P,MATCH(Base!$B475,'Debêntures ANBIMA'!$A:$A,0))</f>
        <v>0.70014729537622467</v>
      </c>
    </row>
    <row r="476" spans="1:20" x14ac:dyDescent="0.35">
      <c r="A476">
        <f>YEAR(B476)</f>
        <v>2019</v>
      </c>
      <c r="B476" s="12">
        <f>DATE(YEAR(G476),MONTH(G476),DAY(1))</f>
        <v>43497</v>
      </c>
      <c r="C476">
        <f>IF(E476&lt;&gt;E475,C475+1,C475)</f>
        <v>44</v>
      </c>
      <c r="D476" s="6" t="s">
        <v>206</v>
      </c>
      <c r="E476" s="6" t="s">
        <v>205</v>
      </c>
      <c r="F476" s="6" t="s">
        <v>233</v>
      </c>
      <c r="G476" s="1">
        <v>43501</v>
      </c>
      <c r="H476" s="1" t="s">
        <v>208</v>
      </c>
      <c r="I476" s="7">
        <f>IF(H476-G476&gt;(365*5),1,0)</f>
        <v>1</v>
      </c>
      <c r="J476" s="22">
        <v>1</v>
      </c>
      <c r="K476" s="9">
        <f>IF($N476="USD",INDEX('Dólar Spot'!$C:$C,MATCH(Base!$G476,'Dólar Spot'!$A:$A,0)),"")</f>
        <v>3.6735000000000002</v>
      </c>
      <c r="L476" s="8">
        <v>750000000</v>
      </c>
      <c r="M476" s="7">
        <f>IF(N476="USD",L476*K476/1000000,L476/1000000)</f>
        <v>2755.125</v>
      </c>
      <c r="N476" s="6" t="s">
        <v>16</v>
      </c>
      <c r="O476" s="9" t="str" cm="1">
        <f t="array" ref="O476">INDEX(Ratings!$B$2:$L$42,_xlfn.XMATCH(Base!E476,Ratings!$A$2:$A$42),_xlfn.XMATCH(YEAR(Base!G476),Ratings!$B$1:$L$1))</f>
        <v>BBB-</v>
      </c>
      <c r="P476">
        <f>IF(AND(O476&lt;&gt;"BBB-",O476&lt;&gt;"BBB",O476&lt;&gt;"BBB+"),0,1)</f>
        <v>1</v>
      </c>
      <c r="Q476" s="7">
        <f>INDEX('Bonds ANBIMA'!$F:$F,MATCH(Base!$B476,'Bonds ANBIMA'!$A:$A,0))</f>
        <v>2792.2687499999997</v>
      </c>
      <c r="R476" s="21">
        <f>INDEX('Bonds ANBIMA'!$H:$H,MATCH(Base!$B476,'Bonds ANBIMA'!$A:$A,0))</f>
        <v>1</v>
      </c>
      <c r="S476" s="7">
        <f>INDEX('Debêntures ANBIMA'!$O:$O,MATCH(Base!$B476,'Debêntures ANBIMA'!$A:$A,0))</f>
        <v>266.95299999999997</v>
      </c>
      <c r="T476" s="24">
        <f>INDEX('Debêntures ANBIMA'!$P:$P,MATCH(Base!$B476,'Debêntures ANBIMA'!$A:$A,0))</f>
        <v>0.51217228464419473</v>
      </c>
    </row>
    <row r="477" spans="1:20" x14ac:dyDescent="0.35">
      <c r="A477">
        <f>YEAR(B477)</f>
        <v>2018</v>
      </c>
      <c r="B477" s="12">
        <f>DATE(YEAR(G477),MONTH(G477),DAY(1))</f>
        <v>43252</v>
      </c>
      <c r="C477">
        <f>IF(E477&lt;&gt;E476,C476+1,C476)</f>
        <v>44</v>
      </c>
      <c r="D477" s="6" t="s">
        <v>340</v>
      </c>
      <c r="E477" s="6" t="s">
        <v>205</v>
      </c>
      <c r="F477" s="6" t="s">
        <v>346</v>
      </c>
      <c r="G477" s="1">
        <v>43280</v>
      </c>
      <c r="H477" s="1">
        <v>46202</v>
      </c>
      <c r="I477" s="7">
        <f>IF(H477-G477&gt;(365*5),1,0)</f>
        <v>1</v>
      </c>
      <c r="J477" s="22">
        <v>1</v>
      </c>
      <c r="K477" s="9" t="str">
        <f>IF($N477="USD",INDEX('Dólar Spot'!$C:$C,MATCH(Base!$G477,'Dólar Spot'!$A:$A,0)),"")</f>
        <v/>
      </c>
      <c r="L477" s="8">
        <v>4681100000</v>
      </c>
      <c r="M477" s="7">
        <f>IF(N477="USD",L477*K477/1000000,L477/1000000)</f>
        <v>4681.1000000000004</v>
      </c>
      <c r="N477" s="6" t="s">
        <v>348</v>
      </c>
      <c r="O477" s="9" t="str" cm="1">
        <f t="array" ref="O477">INDEX(Ratings!$B$2:$L$42,_xlfn.XMATCH(Base!E477,Ratings!$A$2:$A$42),_xlfn.XMATCH(YEAR(Base!G477),Ratings!$B$1:$L$1))</f>
        <v>BBB-</v>
      </c>
      <c r="P477">
        <f>IF(AND(O477&lt;&gt;"BBB-",O477&lt;&gt;"BBB",O477&lt;&gt;"BBB+"),0,1)</f>
        <v>1</v>
      </c>
      <c r="Q477" s="7">
        <f>INDEX('Bonds ANBIMA'!$F:$F,MATCH(Base!$B477,'Bonds ANBIMA'!$A:$A,0))</f>
        <v>0</v>
      </c>
      <c r="R477" s="21">
        <f>INDEX('Bonds ANBIMA'!$H:$H,MATCH(Base!$B477,'Bonds ANBIMA'!$A:$A,0))</f>
        <v>0.72222222222222221</v>
      </c>
      <c r="S477" s="7">
        <f>INDEX('Debêntures ANBIMA'!$O:$O,MATCH(Base!$B477,'Debêntures ANBIMA'!$A:$A,0))</f>
        <v>320.93409090909091</v>
      </c>
      <c r="T477" s="24">
        <f>INDEX('Debêntures ANBIMA'!$P:$P,MATCH(Base!$B477,'Debêntures ANBIMA'!$A:$A,0))</f>
        <v>0.78028231454019203</v>
      </c>
    </row>
    <row r="478" spans="1:20" x14ac:dyDescent="0.35">
      <c r="A478">
        <f>YEAR(B478)</f>
        <v>2019</v>
      </c>
      <c r="B478" s="12">
        <f>DATE(YEAR(G478),MONTH(G478),DAY(1))</f>
        <v>43466</v>
      </c>
      <c r="C478">
        <f>IF(E478&lt;&gt;E477,C477+1,C477)</f>
        <v>44</v>
      </c>
      <c r="D478" s="6" t="s">
        <v>340</v>
      </c>
      <c r="E478" s="6" t="s">
        <v>205</v>
      </c>
      <c r="F478" s="6" t="s">
        <v>346</v>
      </c>
      <c r="G478" s="1">
        <v>43472</v>
      </c>
      <c r="H478" s="1">
        <v>43832</v>
      </c>
      <c r="I478" s="7">
        <f>IF(H478-G478&gt;(365*5),1,0)</f>
        <v>0</v>
      </c>
      <c r="J478" s="22">
        <v>1</v>
      </c>
      <c r="K478" s="9" t="str">
        <f>IF($N478="USD",INDEX('Dólar Spot'!$C:$C,MATCH(Base!$G478,'Dólar Spot'!$A:$A,0)),"")</f>
        <v/>
      </c>
      <c r="L478" s="8">
        <v>4000000000</v>
      </c>
      <c r="M478" s="7">
        <f>IF(N478="USD",L478*K478/1000000,L478/1000000)</f>
        <v>4000</v>
      </c>
      <c r="N478" s="6" t="s">
        <v>348</v>
      </c>
      <c r="O478" s="9" t="str" cm="1">
        <f t="array" ref="O478">INDEX(Ratings!$B$2:$L$42,_xlfn.XMATCH(Base!E478,Ratings!$A$2:$A$42),_xlfn.XMATCH(YEAR(Base!G478),Ratings!$B$1:$L$1))</f>
        <v>BBB-</v>
      </c>
      <c r="P478">
        <f>IF(AND(O478&lt;&gt;"BBB-",O478&lt;&gt;"BBB",O478&lt;&gt;"BBB+"),0,1)</f>
        <v>1</v>
      </c>
      <c r="Q478" s="7">
        <f>INDEX('Bonds ANBIMA'!$F:$F,MATCH(Base!$B478,'Bonds ANBIMA'!$A:$A,0))</f>
        <v>0</v>
      </c>
      <c r="R478" s="21">
        <f>INDEX('Bonds ANBIMA'!$H:$H,MATCH(Base!$B478,'Bonds ANBIMA'!$A:$A,0))</f>
        <v>1</v>
      </c>
      <c r="S478" s="7">
        <f>INDEX('Debêntures ANBIMA'!$O:$O,MATCH(Base!$B478,'Debêntures ANBIMA'!$A:$A,0))</f>
        <v>572.43679166666664</v>
      </c>
      <c r="T478" s="24">
        <f>INDEX('Debêntures ANBIMA'!$P:$P,MATCH(Base!$B478,'Debêntures ANBIMA'!$A:$A,0))</f>
        <v>0.50135484259515417</v>
      </c>
    </row>
    <row r="479" spans="1:20" x14ac:dyDescent="0.35">
      <c r="A479">
        <f>YEAR(B479)</f>
        <v>2019</v>
      </c>
      <c r="B479" s="12">
        <f>DATE(YEAR(G479),MONTH(G479),DAY(1))</f>
        <v>43709</v>
      </c>
      <c r="C479">
        <f>IF(E479&lt;&gt;E478,C478+1,C478)</f>
        <v>44</v>
      </c>
      <c r="D479" s="6" t="s">
        <v>340</v>
      </c>
      <c r="E479" s="6" t="s">
        <v>205</v>
      </c>
      <c r="F479" s="6" t="s">
        <v>346</v>
      </c>
      <c r="G479" s="1">
        <v>43723</v>
      </c>
      <c r="H479" s="1">
        <v>47011</v>
      </c>
      <c r="I479" s="7">
        <f>IF(H479-G479&gt;(365*5),1,0)</f>
        <v>1</v>
      </c>
      <c r="J479" s="22">
        <v>1</v>
      </c>
      <c r="K479" s="9" t="str">
        <f>IF($N479="USD",INDEX('Dólar Spot'!$C:$C,MATCH(Base!$G479,'Dólar Spot'!$A:$A,0)),"")</f>
        <v/>
      </c>
      <c r="L479" s="8">
        <v>750000000</v>
      </c>
      <c r="M479" s="7">
        <f>IF(N479="USD",L479*K479/1000000,L479/1000000)</f>
        <v>750</v>
      </c>
      <c r="N479" s="6" t="s">
        <v>348</v>
      </c>
      <c r="O479" s="9" t="str" cm="1">
        <f t="array" ref="O479">INDEX(Ratings!$B$2:$L$42,_xlfn.XMATCH(Base!E479,Ratings!$A$2:$A$42),_xlfn.XMATCH(YEAR(Base!G479),Ratings!$B$1:$L$1))</f>
        <v>BBB-</v>
      </c>
      <c r="P479">
        <f>IF(AND(O479&lt;&gt;"BBB-",O479&lt;&gt;"BBB",O479&lt;&gt;"BBB+"),0,1)</f>
        <v>1</v>
      </c>
      <c r="Q479" s="7">
        <f>INDEX('Bonds ANBIMA'!$F:$F,MATCH(Base!$B479,'Bonds ANBIMA'!$A:$A,0))</f>
        <v>3296.7200000000007</v>
      </c>
      <c r="R479" s="21">
        <f>INDEX('Bonds ANBIMA'!$H:$H,MATCH(Base!$B479,'Bonds ANBIMA'!$A:$A,0))</f>
        <v>0.79166666666666663</v>
      </c>
      <c r="S479" s="7">
        <f>INDEX('Debêntures ANBIMA'!$O:$O,MATCH(Base!$B479,'Debêntures ANBIMA'!$A:$A,0))</f>
        <v>315.42522222222226</v>
      </c>
      <c r="T479" s="24">
        <f>INDEX('Debêntures ANBIMA'!$P:$P,MATCH(Base!$B479,'Debêntures ANBIMA'!$A:$A,0))</f>
        <v>0.63969390756637756</v>
      </c>
    </row>
    <row r="480" spans="1:20" x14ac:dyDescent="0.35">
      <c r="A480">
        <f>YEAR(B480)</f>
        <v>2019</v>
      </c>
      <c r="B480" s="12">
        <f>DATE(YEAR(G480),MONTH(G480),DAY(1))</f>
        <v>43617</v>
      </c>
      <c r="C480">
        <f>IF(E480&lt;&gt;E479,C479+1,C479)</f>
        <v>45</v>
      </c>
      <c r="D480" s="6" t="s">
        <v>214</v>
      </c>
      <c r="E480" s="6" t="s">
        <v>213</v>
      </c>
      <c r="F480" s="6" t="s">
        <v>233</v>
      </c>
      <c r="G480" s="1">
        <v>43622</v>
      </c>
      <c r="H480" s="1" t="s">
        <v>215</v>
      </c>
      <c r="I480" s="7">
        <f>IF(H480-G480&gt;(365*5),1,0)</f>
        <v>1</v>
      </c>
      <c r="J480" s="22">
        <v>1</v>
      </c>
      <c r="K480" s="9">
        <f>IF($N480="USD",INDEX('Dólar Spot'!$C:$C,MATCH(Base!$G480,'Dólar Spot'!$A:$A,0)),"")</f>
        <v>3.8719999999999999</v>
      </c>
      <c r="L480" s="8">
        <v>500000000</v>
      </c>
      <c r="M480" s="7">
        <f>IF(N480="USD",L480*K480/1000000,L480/1000000)</f>
        <v>1936</v>
      </c>
      <c r="N480" s="6" t="s">
        <v>16</v>
      </c>
      <c r="O480" s="9" t="str" cm="1">
        <f t="array" ref="O480">INDEX(Ratings!$B$2:$L$42,_xlfn.XMATCH(Base!E480,Ratings!$A$2:$A$42),_xlfn.XMATCH(YEAR(Base!G480),Ratings!$B$1:$L$1))</f>
        <v>BB+</v>
      </c>
      <c r="P480">
        <f>IF(AND(O480&lt;&gt;"BBB-",O480&lt;&gt;"BBB",O480&lt;&gt;"BBB+"),0,1)</f>
        <v>0</v>
      </c>
      <c r="Q480" s="7">
        <f>INDEX('Bonds ANBIMA'!$F:$F,MATCH(Base!$B480,'Bonds ANBIMA'!$A:$A,0))</f>
        <v>2154.1763596491228</v>
      </c>
      <c r="R480" s="21">
        <f>INDEX('Bonds ANBIMA'!$H:$H,MATCH(Base!$B480,'Bonds ANBIMA'!$A:$A,0))</f>
        <v>0.8125</v>
      </c>
      <c r="S480" s="7">
        <f>INDEX('Debêntures ANBIMA'!$O:$O,MATCH(Base!$B480,'Debêntures ANBIMA'!$A:$A,0))</f>
        <v>599.62275384615384</v>
      </c>
      <c r="T480" s="24">
        <f>INDEX('Debêntures ANBIMA'!$P:$P,MATCH(Base!$B480,'Debêntures ANBIMA'!$A:$A,0))</f>
        <v>0.7802031687198594</v>
      </c>
    </row>
    <row r="481" spans="1:20" x14ac:dyDescent="0.35">
      <c r="A481">
        <f>YEAR(B481)</f>
        <v>2016</v>
      </c>
      <c r="B481" s="12">
        <f>DATE(YEAR(G481),MONTH(G481),DAY(1))</f>
        <v>42644</v>
      </c>
      <c r="C481">
        <f>IF(E481&lt;&gt;E480,C480+1,C480)</f>
        <v>45</v>
      </c>
      <c r="D481" s="6" t="s">
        <v>214</v>
      </c>
      <c r="E481" s="6" t="s">
        <v>213</v>
      </c>
      <c r="F481" s="6" t="s">
        <v>233</v>
      </c>
      <c r="G481" s="1">
        <v>42649</v>
      </c>
      <c r="H481" s="1" t="s">
        <v>216</v>
      </c>
      <c r="I481" s="7">
        <f>IF(H481-G481&gt;(365*5),1,0)</f>
        <v>1</v>
      </c>
      <c r="J481" s="22">
        <v>1</v>
      </c>
      <c r="K481" s="9">
        <f>IF($N481="USD",INDEX('Dólar Spot'!$C:$C,MATCH(Base!$G481,'Dólar Spot'!$A:$A,0)),"")</f>
        <v>3.2303999999999999</v>
      </c>
      <c r="L481" s="8">
        <v>750000000</v>
      </c>
      <c r="M481" s="7">
        <f>IF(N481="USD",L481*K481/1000000,L481/1000000)</f>
        <v>2422.8000000000002</v>
      </c>
      <c r="N481" s="6" t="s">
        <v>16</v>
      </c>
      <c r="O481" s="9" t="str" cm="1">
        <f t="array" ref="O481">INDEX(Ratings!$B$2:$L$42,_xlfn.XMATCH(Base!E481,Ratings!$A$2:$A$42),_xlfn.XMATCH(YEAR(Base!G481),Ratings!$B$1:$L$1))</f>
        <v>BB+</v>
      </c>
      <c r="P481">
        <f>IF(AND(O481&lt;&gt;"BBB-",O481&lt;&gt;"BBB",O481&lt;&gt;"BBB+"),0,1)</f>
        <v>0</v>
      </c>
      <c r="Q481" s="7">
        <f>INDEX('Bonds ANBIMA'!$F:$F,MATCH(Base!$B481,'Bonds ANBIMA'!$A:$A,0))</f>
        <v>1990.7781250000007</v>
      </c>
      <c r="R481" s="21">
        <f>INDEX('Bonds ANBIMA'!$H:$H,MATCH(Base!$B481,'Bonds ANBIMA'!$A:$A,0))</f>
        <v>0.77777777777777779</v>
      </c>
      <c r="S481" s="7">
        <f>INDEX('Debêntures ANBIMA'!$O:$O,MATCH(Base!$B481,'Debêntures ANBIMA'!$A:$A,0))</f>
        <v>621.243875</v>
      </c>
      <c r="T481" s="24">
        <f>INDEX('Debêntures ANBIMA'!$P:$P,MATCH(Base!$B481,'Debêntures ANBIMA'!$A:$A,0))</f>
        <v>0.38962227014302186</v>
      </c>
    </row>
    <row r="482" spans="1:20" x14ac:dyDescent="0.35">
      <c r="A482">
        <f>YEAR(B482)</f>
        <v>2020</v>
      </c>
      <c r="B482" s="12">
        <f>DATE(YEAR(G482),MONTH(G482),DAY(1))</f>
        <v>44013</v>
      </c>
      <c r="C482">
        <f>IF(E482&lt;&gt;E481,C481+1,C481)</f>
        <v>45</v>
      </c>
      <c r="D482" s="6" t="s">
        <v>214</v>
      </c>
      <c r="E482" s="6" t="s">
        <v>213</v>
      </c>
      <c r="F482" s="6" t="s">
        <v>233</v>
      </c>
      <c r="G482" s="1">
        <v>44032</v>
      </c>
      <c r="H482" s="1" t="s">
        <v>215</v>
      </c>
      <c r="I482" s="7">
        <f>IF(H482-G482&gt;(365*5),1,0)</f>
        <v>1</v>
      </c>
      <c r="J482" s="22">
        <v>1</v>
      </c>
      <c r="K482" s="9">
        <f>IF($N482="USD",INDEX('Dólar Spot'!$C:$C,MATCH(Base!$G482,'Dólar Spot'!$A:$A,0)),"")</f>
        <v>5.3628999999999998</v>
      </c>
      <c r="L482" s="8">
        <v>350000000</v>
      </c>
      <c r="M482" s="7">
        <f>IF(N482="USD",L482*K482/1000000,L482/1000000)</f>
        <v>1877.0150000000001</v>
      </c>
      <c r="N482" s="6" t="s">
        <v>16</v>
      </c>
      <c r="O482" s="9" t="str" cm="1">
        <f t="array" ref="O482">INDEX(Ratings!$B$2:$L$42,_xlfn.XMATCH(Base!E482,Ratings!$A$2:$A$42),_xlfn.XMATCH(YEAR(Base!G482),Ratings!$B$1:$L$1))</f>
        <v>BB+</v>
      </c>
      <c r="P482">
        <f>IF(AND(O482&lt;&gt;"BBB-",O482&lt;&gt;"BBB",O482&lt;&gt;"BBB+"),0,1)</f>
        <v>0</v>
      </c>
      <c r="Q482" s="7">
        <f>INDEX('Bonds ANBIMA'!$F:$F,MATCH(Base!$B482,'Bonds ANBIMA'!$A:$A,0))</f>
        <v>2820.1840108695651</v>
      </c>
      <c r="R482" s="21">
        <f>INDEX('Bonds ANBIMA'!$H:$H,MATCH(Base!$B482,'Bonds ANBIMA'!$A:$A,0))</f>
        <v>0.70833333333333326</v>
      </c>
      <c r="S482" s="7">
        <f>INDEX('Debêntures ANBIMA'!$O:$O,MATCH(Base!$B482,'Debêntures ANBIMA'!$A:$A,0))</f>
        <v>302.30131578947368</v>
      </c>
      <c r="T482" s="24">
        <f>INDEX('Debêntures ANBIMA'!$P:$P,MATCH(Base!$B482,'Debêntures ANBIMA'!$A:$A,0))</f>
        <v>0.46990765793883493</v>
      </c>
    </row>
    <row r="483" spans="1:20" x14ac:dyDescent="0.35">
      <c r="A483">
        <f>YEAR(B483)</f>
        <v>2012</v>
      </c>
      <c r="B483" s="12">
        <f>DATE(YEAR(G483),MONTH(G483),DAY(1))</f>
        <v>40969</v>
      </c>
      <c r="C483">
        <f>IF(E483&lt;&gt;E482,C482+1,C482)</f>
        <v>45</v>
      </c>
      <c r="D483" s="6" t="s">
        <v>341</v>
      </c>
      <c r="E483" s="6" t="s">
        <v>213</v>
      </c>
      <c r="F483" s="6" t="s">
        <v>346</v>
      </c>
      <c r="G483" s="1">
        <v>40984</v>
      </c>
      <c r="H483" s="1">
        <v>42079</v>
      </c>
      <c r="I483" s="7">
        <f>IF(H483-G483&gt;(365*5),1,0)</f>
        <v>0</v>
      </c>
      <c r="J483" s="22">
        <v>1</v>
      </c>
      <c r="K483" s="9" t="str">
        <f>IF($N483="USD",INDEX('Dólar Spot'!$C:$C,MATCH(Base!$G483,'Dólar Spot'!$A:$A,0)),"")</f>
        <v/>
      </c>
      <c r="L483" s="8">
        <v>800000000</v>
      </c>
      <c r="M483" s="7">
        <f>IF(N483="USD",L483*K483/1000000,L483/1000000)</f>
        <v>800</v>
      </c>
      <c r="N483" s="6" t="s">
        <v>348</v>
      </c>
      <c r="O483" s="9" t="str" cm="1">
        <f t="array" ref="O483">INDEX(Ratings!$B$2:$L$42,_xlfn.XMATCH(Base!E483,Ratings!$A$2:$A$42),_xlfn.XMATCH(YEAR(Base!G483),Ratings!$B$1:$L$1))</f>
        <v>BBB-</v>
      </c>
      <c r="P483">
        <f>IF(AND(O483&lt;&gt;"BBB-",O483&lt;&gt;"BBB",O483&lt;&gt;"BBB+"),0,1)</f>
        <v>1</v>
      </c>
      <c r="Q483" s="7">
        <f>INDEX('Bonds ANBIMA'!$F:$F,MATCH(Base!$B483,'Bonds ANBIMA'!$A:$A,0))</f>
        <v>1444.0059189189192</v>
      </c>
      <c r="R483" s="21">
        <f>INDEX('Bonds ANBIMA'!$H:$H,MATCH(Base!$B483,'Bonds ANBIMA'!$A:$A,0))</f>
        <v>0.81690140845070425</v>
      </c>
      <c r="S483" s="7">
        <f>INDEX('Debêntures ANBIMA'!$O:$O,MATCH(Base!$B483,'Debêntures ANBIMA'!$A:$A,0))</f>
        <v>289.86818181818182</v>
      </c>
      <c r="T483" s="24">
        <f>INDEX('Debêntures ANBIMA'!$P:$P,MATCH(Base!$B483,'Debêntures ANBIMA'!$A:$A,0))</f>
        <v>0.52744978124852993</v>
      </c>
    </row>
    <row r="484" spans="1:20" x14ac:dyDescent="0.35">
      <c r="A484">
        <f>YEAR(B484)</f>
        <v>2015</v>
      </c>
      <c r="B484" s="12">
        <f>DATE(YEAR(G484),MONTH(G484),DAY(1))</f>
        <v>42064</v>
      </c>
      <c r="C484">
        <f>IF(E484&lt;&gt;E483,C483+1,C483)</f>
        <v>45</v>
      </c>
      <c r="D484" s="6" t="s">
        <v>341</v>
      </c>
      <c r="E484" s="6" t="s">
        <v>213</v>
      </c>
      <c r="F484" s="6" t="s">
        <v>346</v>
      </c>
      <c r="G484" s="1">
        <v>42079</v>
      </c>
      <c r="H484" s="1">
        <v>43175</v>
      </c>
      <c r="I484" s="7">
        <f>IF(H484-G484&gt;(365*5),1,0)</f>
        <v>0</v>
      </c>
      <c r="J484" s="22">
        <v>1</v>
      </c>
      <c r="K484" s="9" t="str">
        <f>IF($N484="USD",INDEX('Dólar Spot'!$C:$C,MATCH(Base!$G484,'Dólar Spot'!$A:$A,0)),"")</f>
        <v/>
      </c>
      <c r="L484" s="8">
        <v>800000000</v>
      </c>
      <c r="M484" s="7">
        <f>IF(N484="USD",L484*K484/1000000,L484/1000000)</f>
        <v>800</v>
      </c>
      <c r="N484" s="6" t="s">
        <v>348</v>
      </c>
      <c r="O484" s="9" t="str" cm="1">
        <f t="array" ref="O484">INDEX(Ratings!$B$2:$L$42,_xlfn.XMATCH(Base!E484,Ratings!$A$2:$A$42),_xlfn.XMATCH(YEAR(Base!G484),Ratings!$B$1:$L$1))</f>
        <v>BBB</v>
      </c>
      <c r="P484">
        <f>IF(AND(O484&lt;&gt;"BBB-",O484&lt;&gt;"BBB",O484&lt;&gt;"BBB+"),0,1)</f>
        <v>1</v>
      </c>
      <c r="Q484" s="7">
        <f>INDEX('Bonds ANBIMA'!$F:$F,MATCH(Base!$B484,'Bonds ANBIMA'!$A:$A,0))</f>
        <v>2929.4565909090911</v>
      </c>
      <c r="R484" s="21">
        <f>INDEX('Bonds ANBIMA'!$H:$H,MATCH(Base!$B484,'Bonds ANBIMA'!$A:$A,0))</f>
        <v>0.85714285714285721</v>
      </c>
      <c r="S484" s="7">
        <f>INDEX('Debêntures ANBIMA'!$O:$O,MATCH(Base!$B484,'Debêntures ANBIMA'!$A:$A,0))</f>
        <v>197.90450000000001</v>
      </c>
      <c r="T484" s="24">
        <f>INDEX('Debêntures ANBIMA'!$P:$P,MATCH(Base!$B484,'Debêntures ANBIMA'!$A:$A,0))</f>
        <v>0.40312625386019879</v>
      </c>
    </row>
    <row r="485" spans="1:20" x14ac:dyDescent="0.35">
      <c r="A485">
        <f>YEAR(B485)</f>
        <v>2018</v>
      </c>
      <c r="B485" s="12">
        <f>DATE(YEAR(G485),MONTH(G485),DAY(1))</f>
        <v>43160</v>
      </c>
      <c r="C485">
        <f>IF(E485&lt;&gt;E484,C484+1,C484)</f>
        <v>45</v>
      </c>
      <c r="D485" s="6" t="s">
        <v>341</v>
      </c>
      <c r="E485" s="6" t="s">
        <v>213</v>
      </c>
      <c r="F485" s="6" t="s">
        <v>346</v>
      </c>
      <c r="G485" s="1">
        <v>43164</v>
      </c>
      <c r="H485" s="1">
        <v>44990</v>
      </c>
      <c r="I485" s="7">
        <f>IF(H485-G485&gt;(365*5),1,0)</f>
        <v>1</v>
      </c>
      <c r="J485" s="22">
        <v>1</v>
      </c>
      <c r="K485" s="9" t="str">
        <f>IF($N485="USD",INDEX('Dólar Spot'!$C:$C,MATCH(Base!$G485,'Dólar Spot'!$A:$A,0)),"")</f>
        <v/>
      </c>
      <c r="L485" s="8">
        <v>1725000000</v>
      </c>
      <c r="M485" s="7">
        <f>IF(N485="USD",L485*K485/1000000,L485/1000000)</f>
        <v>1725</v>
      </c>
      <c r="N485" s="6" t="s">
        <v>348</v>
      </c>
      <c r="O485" s="9" t="str" cm="1">
        <f t="array" ref="O485">INDEX(Ratings!$B$2:$L$42,_xlfn.XMATCH(Base!E485,Ratings!$A$2:$A$42),_xlfn.XMATCH(YEAR(Base!G485),Ratings!$B$1:$L$1))</f>
        <v>BB+</v>
      </c>
      <c r="P485">
        <f>IF(AND(O485&lt;&gt;"BBB-",O485&lt;&gt;"BBB",O485&lt;&gt;"BBB+"),0,1)</f>
        <v>0</v>
      </c>
      <c r="Q485" s="7">
        <f>INDEX('Bonds ANBIMA'!$F:$F,MATCH(Base!$B485,'Bonds ANBIMA'!$A:$A,0))</f>
        <v>0</v>
      </c>
      <c r="R485" s="21">
        <f>INDEX('Bonds ANBIMA'!$H:$H,MATCH(Base!$B485,'Bonds ANBIMA'!$A:$A,0))</f>
        <v>0.76923076923076916</v>
      </c>
      <c r="S485" s="7">
        <f>INDEX('Debêntures ANBIMA'!$O:$O,MATCH(Base!$B485,'Debêntures ANBIMA'!$A:$A,0))</f>
        <v>400.59090909090907</v>
      </c>
      <c r="T485" s="24">
        <f>INDEX('Debêntures ANBIMA'!$P:$P,MATCH(Base!$B485,'Debêntures ANBIMA'!$A:$A,0))</f>
        <v>0.62046364051464531</v>
      </c>
    </row>
    <row r="486" spans="1:20" x14ac:dyDescent="0.35">
      <c r="A486">
        <f>YEAR(B486)</f>
        <v>2019</v>
      </c>
      <c r="B486" s="12">
        <f>DATE(YEAR(G486),MONTH(G486),DAY(1))</f>
        <v>43647</v>
      </c>
      <c r="C486">
        <f>IF(E486&lt;&gt;E485,C485+1,C485)</f>
        <v>46</v>
      </c>
      <c r="D486" s="6" t="s">
        <v>218</v>
      </c>
      <c r="E486" s="6" t="s">
        <v>217</v>
      </c>
      <c r="F486" s="6" t="s">
        <v>233</v>
      </c>
      <c r="G486" s="1">
        <v>43664</v>
      </c>
      <c r="H486" s="1" t="s">
        <v>219</v>
      </c>
      <c r="I486" s="7">
        <f>IF(H486-G486&gt;(365*5),1,0)</f>
        <v>1</v>
      </c>
      <c r="J486" s="22">
        <v>1</v>
      </c>
      <c r="K486" s="9">
        <f>IF($N486="USD",INDEX('Dólar Spot'!$C:$C,MATCH(Base!$G486,'Dólar Spot'!$A:$A,0)),"")</f>
        <v>3.7483</v>
      </c>
      <c r="L486" s="8">
        <v>750000000</v>
      </c>
      <c r="M486" s="7">
        <f>IF(N486="USD",L486*K486/1000000,L486/1000000)</f>
        <v>2811.2249999999999</v>
      </c>
      <c r="N486" s="6" t="s">
        <v>16</v>
      </c>
      <c r="O486" s="9" t="str" cm="1">
        <f t="array" ref="O486">INDEX(Ratings!$B$2:$L$42,_xlfn.XMATCH(Base!E486,Ratings!$A$2:$A$42),_xlfn.XMATCH(YEAR(Base!G486),Ratings!$B$1:$L$1))</f>
        <v>BB-</v>
      </c>
      <c r="P486">
        <f>IF(AND(O486&lt;&gt;"BBB-",O486&lt;&gt;"BBB",O486&lt;&gt;"BBB+"),0,1)</f>
        <v>0</v>
      </c>
      <c r="Q486" s="7">
        <f>INDEX('Bonds ANBIMA'!$F:$F,MATCH(Base!$B486,'Bonds ANBIMA'!$A:$A,0))</f>
        <v>2361.6956521739135</v>
      </c>
      <c r="R486" s="21">
        <f>INDEX('Bonds ANBIMA'!$H:$H,MATCH(Base!$B486,'Bonds ANBIMA'!$A:$A,0))</f>
        <v>0.8125</v>
      </c>
      <c r="S486" s="7">
        <f>INDEX('Debêntures ANBIMA'!$O:$O,MATCH(Base!$B486,'Debêntures ANBIMA'!$A:$A,0))</f>
        <v>277.1682222222222</v>
      </c>
      <c r="T486" s="24">
        <f>INDEX('Debêntures ANBIMA'!$P:$P,MATCH(Base!$B486,'Debêntures ANBIMA'!$A:$A,0))</f>
        <v>0.88986216208179325</v>
      </c>
    </row>
    <row r="487" spans="1:20" x14ac:dyDescent="0.35">
      <c r="A487">
        <f>YEAR(B487)</f>
        <v>2013</v>
      </c>
      <c r="B487" s="12">
        <f>DATE(YEAR(G487),MONTH(G487),DAY(1))</f>
        <v>41275</v>
      </c>
      <c r="C487">
        <f>IF(E487&lt;&gt;E486,C486+1,C486)</f>
        <v>46</v>
      </c>
      <c r="D487" s="6" t="s">
        <v>342</v>
      </c>
      <c r="E487" s="6" t="s">
        <v>217</v>
      </c>
      <c r="F487" s="6" t="s">
        <v>346</v>
      </c>
      <c r="G487" s="1">
        <v>41304</v>
      </c>
      <c r="H487" s="1">
        <v>46006</v>
      </c>
      <c r="I487" s="7">
        <f>IF(H487-G487&gt;(365*5),1,0)</f>
        <v>1</v>
      </c>
      <c r="J487" s="22">
        <v>1</v>
      </c>
      <c r="K487" s="9" t="str">
        <f>IF($N487="USD",INDEX('Dólar Spot'!$C:$C,MATCH(Base!$G487,'Dólar Spot'!$A:$A,0)),"")</f>
        <v/>
      </c>
      <c r="L487" s="8">
        <v>1000000000</v>
      </c>
      <c r="M487" s="7">
        <f>IF(N487="USD",L487*K487/1000000,L487/1000000)</f>
        <v>1000</v>
      </c>
      <c r="N487" s="6" t="s">
        <v>348</v>
      </c>
      <c r="O487" s="9" t="str" cm="1">
        <f t="array" ref="O487">INDEX(Ratings!$B$2:$L$42,_xlfn.XMATCH(Base!E487,Ratings!$A$2:$A$42),_xlfn.XMATCH(YEAR(Base!G487),Ratings!$B$1:$L$1))</f>
        <v>BB+</v>
      </c>
      <c r="P487">
        <f>IF(AND(O487&lt;&gt;"BBB-",O487&lt;&gt;"BBB",O487&lt;&gt;"BBB+"),0,1)</f>
        <v>0</v>
      </c>
      <c r="Q487" s="7">
        <f>INDEX('Bonds ANBIMA'!$F:$F,MATCH(Base!$B487,'Bonds ANBIMA'!$A:$A,0))</f>
        <v>2151.6290833333328</v>
      </c>
      <c r="R487" s="21">
        <f>INDEX('Bonds ANBIMA'!$H:$H,MATCH(Base!$B487,'Bonds ANBIMA'!$A:$A,0))</f>
        <v>0.61224489795918369</v>
      </c>
      <c r="S487" s="7">
        <f>INDEX('Debêntures ANBIMA'!$O:$O,MATCH(Base!$B487,'Debêntures ANBIMA'!$A:$A,0))</f>
        <v>324.60000000000002</v>
      </c>
      <c r="T487" s="24">
        <f>INDEX('Debêntures ANBIMA'!$P:$P,MATCH(Base!$B487,'Debêntures ANBIMA'!$A:$A,0))</f>
        <v>0.9491682070240296</v>
      </c>
    </row>
    <row r="488" spans="1:20" x14ac:dyDescent="0.35">
      <c r="A488">
        <f>YEAR(B488)</f>
        <v>2019</v>
      </c>
      <c r="B488" s="12">
        <f>DATE(YEAR(G488),MONTH(G488),DAY(1))</f>
        <v>43709</v>
      </c>
      <c r="C488">
        <f>IF(E488&lt;&gt;E487,C487+1,C487)</f>
        <v>46</v>
      </c>
      <c r="D488" s="6" t="s">
        <v>342</v>
      </c>
      <c r="E488" s="6" t="s">
        <v>217</v>
      </c>
      <c r="F488" s="6" t="s">
        <v>346</v>
      </c>
      <c r="G488" s="1">
        <v>43738</v>
      </c>
      <c r="H488" s="1">
        <v>45199</v>
      </c>
      <c r="I488" s="7">
        <f>IF(H488-G488&gt;(365*5),1,0)</f>
        <v>0</v>
      </c>
      <c r="J488" s="22">
        <v>1</v>
      </c>
      <c r="K488" s="9" t="str">
        <f>IF($N488="USD",INDEX('Dólar Spot'!$C:$C,MATCH(Base!$G488,'Dólar Spot'!$A:$A,0)),"")</f>
        <v/>
      </c>
      <c r="L488" s="8">
        <v>700000000</v>
      </c>
      <c r="M488" s="7">
        <f>IF(N488="USD",L488*K488/1000000,L488/1000000)</f>
        <v>700</v>
      </c>
      <c r="N488" s="6" t="s">
        <v>348</v>
      </c>
      <c r="O488" s="9" t="str" cm="1">
        <f t="array" ref="O488">INDEX(Ratings!$B$2:$L$42,_xlfn.XMATCH(Base!E488,Ratings!$A$2:$A$42),_xlfn.XMATCH(YEAR(Base!G488),Ratings!$B$1:$L$1))</f>
        <v>BB-</v>
      </c>
      <c r="P488">
        <f>IF(AND(O488&lt;&gt;"BBB-",O488&lt;&gt;"BBB",O488&lt;&gt;"BBB+"),0,1)</f>
        <v>0</v>
      </c>
      <c r="Q488" s="7">
        <f>INDEX('Bonds ANBIMA'!$F:$F,MATCH(Base!$B488,'Bonds ANBIMA'!$A:$A,0))</f>
        <v>3296.7200000000007</v>
      </c>
      <c r="R488" s="21">
        <f>INDEX('Bonds ANBIMA'!$H:$H,MATCH(Base!$B488,'Bonds ANBIMA'!$A:$A,0))</f>
        <v>0.79166666666666663</v>
      </c>
      <c r="S488" s="7">
        <f>INDEX('Debêntures ANBIMA'!$O:$O,MATCH(Base!$B488,'Debêntures ANBIMA'!$A:$A,0))</f>
        <v>315.42522222222226</v>
      </c>
      <c r="T488" s="24">
        <f>INDEX('Debêntures ANBIMA'!$P:$P,MATCH(Base!$B488,'Debêntures ANBIMA'!$A:$A,0))</f>
        <v>0.63969390756637756</v>
      </c>
    </row>
    <row r="489" spans="1:20" x14ac:dyDescent="0.35">
      <c r="A489">
        <f>YEAR(B489)</f>
        <v>2019</v>
      </c>
      <c r="B489" s="12">
        <f>DATE(YEAR(G489),MONTH(G489),DAY(1))</f>
        <v>43709</v>
      </c>
      <c r="C489">
        <f>IF(E489&lt;&gt;E488,C488+1,C488)</f>
        <v>46</v>
      </c>
      <c r="D489" s="6" t="s">
        <v>342</v>
      </c>
      <c r="E489" s="6" t="s">
        <v>217</v>
      </c>
      <c r="F489" s="6" t="s">
        <v>346</v>
      </c>
      <c r="G489" s="1">
        <v>43738</v>
      </c>
      <c r="H489" s="1">
        <v>45930</v>
      </c>
      <c r="I489" s="7">
        <f>IF(H489-G489&gt;(365*5),1,0)</f>
        <v>1</v>
      </c>
      <c r="J489" s="22">
        <v>1</v>
      </c>
      <c r="K489" s="9" t="str">
        <f>IF($N489="USD",INDEX('Dólar Spot'!$C:$C,MATCH(Base!$G489,'Dólar Spot'!$A:$A,0)),"")</f>
        <v/>
      </c>
      <c r="L489" s="8">
        <v>1300000000</v>
      </c>
      <c r="M489" s="7">
        <f>IF(N489="USD",L489*K489/1000000,L489/1000000)</f>
        <v>1300</v>
      </c>
      <c r="N489" s="6" t="s">
        <v>348</v>
      </c>
      <c r="O489" s="9" t="str" cm="1">
        <f t="array" ref="O489">INDEX(Ratings!$B$2:$L$42,_xlfn.XMATCH(Base!E489,Ratings!$A$2:$A$42),_xlfn.XMATCH(YEAR(Base!G489),Ratings!$B$1:$L$1))</f>
        <v>BB-</v>
      </c>
      <c r="P489">
        <f>IF(AND(O489&lt;&gt;"BBB-",O489&lt;&gt;"BBB",O489&lt;&gt;"BBB+"),0,1)</f>
        <v>0</v>
      </c>
      <c r="Q489" s="7">
        <f>INDEX('Bonds ANBIMA'!$F:$F,MATCH(Base!$B489,'Bonds ANBIMA'!$A:$A,0))</f>
        <v>3296.7200000000007</v>
      </c>
      <c r="R489" s="21">
        <f>INDEX('Bonds ANBIMA'!$H:$H,MATCH(Base!$B489,'Bonds ANBIMA'!$A:$A,0))</f>
        <v>0.79166666666666663</v>
      </c>
      <c r="S489" s="7">
        <f>INDEX('Debêntures ANBIMA'!$O:$O,MATCH(Base!$B489,'Debêntures ANBIMA'!$A:$A,0))</f>
        <v>315.42522222222226</v>
      </c>
      <c r="T489" s="24">
        <f>INDEX('Debêntures ANBIMA'!$P:$P,MATCH(Base!$B489,'Debêntures ANBIMA'!$A:$A,0))</f>
        <v>0.63969390756637756</v>
      </c>
    </row>
    <row r="490" spans="1:20" x14ac:dyDescent="0.35">
      <c r="A490">
        <f>YEAR(B490)</f>
        <v>2020</v>
      </c>
      <c r="B490" s="12">
        <f>DATE(YEAR(G490),MONTH(G490),DAY(1))</f>
        <v>44013</v>
      </c>
      <c r="C490">
        <f>IF(E490&lt;&gt;E489,C489+1,C489)</f>
        <v>47</v>
      </c>
      <c r="D490" s="6" t="s">
        <v>221</v>
      </c>
      <c r="E490" s="6" t="s">
        <v>220</v>
      </c>
      <c r="F490" s="6" t="s">
        <v>233</v>
      </c>
      <c r="G490" s="1">
        <v>44020</v>
      </c>
      <c r="H490" s="1" t="s">
        <v>222</v>
      </c>
      <c r="I490" s="7">
        <f>IF(H490-G490&gt;(365*5),1,0)</f>
        <v>1</v>
      </c>
      <c r="J490" s="22">
        <v>1</v>
      </c>
      <c r="K490" s="9">
        <f>IF($N490="USD",INDEX('Dólar Spot'!$C:$C,MATCH(Base!$G490,'Dólar Spot'!$A:$A,0)),"")</f>
        <v>5.3475999999999999</v>
      </c>
      <c r="L490" s="8">
        <v>1500000000</v>
      </c>
      <c r="M490" s="7">
        <f>IF(N490="USD",L490*K490/1000000,L490/1000000)</f>
        <v>8021.4</v>
      </c>
      <c r="N490" s="6" t="s">
        <v>16</v>
      </c>
      <c r="O490" s="9" t="str" cm="1">
        <f t="array" ref="O490">INDEX(Ratings!$B$2:$L$42,_xlfn.XMATCH(Base!E490,Ratings!$A$2:$A$42),_xlfn.XMATCH(YEAR(Base!G490),Ratings!$B$1:$L$1))</f>
        <v>BBB</v>
      </c>
      <c r="P490">
        <f>IF(AND(O490&lt;&gt;"BBB-",O490&lt;&gt;"BBB",O490&lt;&gt;"BBB+"),0,1)</f>
        <v>1</v>
      </c>
      <c r="Q490" s="7">
        <f>INDEX('Bonds ANBIMA'!$F:$F,MATCH(Base!$B490,'Bonds ANBIMA'!$A:$A,0))</f>
        <v>2820.1840108695651</v>
      </c>
      <c r="R490" s="21">
        <f>INDEX('Bonds ANBIMA'!$H:$H,MATCH(Base!$B490,'Bonds ANBIMA'!$A:$A,0))</f>
        <v>0.70833333333333326</v>
      </c>
      <c r="S490" s="7">
        <f>INDEX('Debêntures ANBIMA'!$O:$O,MATCH(Base!$B490,'Debêntures ANBIMA'!$A:$A,0))</f>
        <v>302.30131578947368</v>
      </c>
      <c r="T490" s="24">
        <f>INDEX('Debêntures ANBIMA'!$P:$P,MATCH(Base!$B490,'Debêntures ANBIMA'!$A:$A,0))</f>
        <v>0.46990765793883493</v>
      </c>
    </row>
    <row r="491" spans="1:20" x14ac:dyDescent="0.35">
      <c r="A491">
        <f>YEAR(B491)</f>
        <v>2016</v>
      </c>
      <c r="B491" s="12">
        <f>DATE(YEAR(G491),MONTH(G491),DAY(1))</f>
        <v>42583</v>
      </c>
      <c r="C491">
        <f>IF(E491&lt;&gt;E490,C490+1,C490)</f>
        <v>47</v>
      </c>
      <c r="D491" s="6" t="s">
        <v>221</v>
      </c>
      <c r="E491" s="6" t="s">
        <v>220</v>
      </c>
      <c r="F491" s="6" t="s">
        <v>233</v>
      </c>
      <c r="G491" s="1">
        <v>42592</v>
      </c>
      <c r="H491" s="1" t="s">
        <v>223</v>
      </c>
      <c r="I491" s="7">
        <f>IF(H491-G491&gt;(365*5),1,0)</f>
        <v>1</v>
      </c>
      <c r="J491" s="22">
        <v>1</v>
      </c>
      <c r="K491" s="9">
        <f>IF($N491="USD",INDEX('Dólar Spot'!$C:$C,MATCH(Base!$G491,'Dólar Spot'!$A:$A,0)),"")</f>
        <v>3.1295999999999999</v>
      </c>
      <c r="L491" s="8">
        <v>1000000000</v>
      </c>
      <c r="M491" s="7">
        <f>IF(N491="USD",L491*K491/1000000,L491/1000000)</f>
        <v>3129.6</v>
      </c>
      <c r="N491" s="6" t="s">
        <v>16</v>
      </c>
      <c r="O491" s="9" t="str" cm="1">
        <f t="array" ref="O491">INDEX(Ratings!$B$2:$L$42,_xlfn.XMATCH(Base!E491,Ratings!$A$2:$A$42),_xlfn.XMATCH(YEAR(Base!G491),Ratings!$B$1:$L$1))</f>
        <v>BBB</v>
      </c>
      <c r="P491">
        <f>IF(AND(O491&lt;&gt;"BBB-",O491&lt;&gt;"BBB",O491&lt;&gt;"BBB+"),0,1)</f>
        <v>1</v>
      </c>
      <c r="Q491" s="7">
        <f>INDEX('Bonds ANBIMA'!$F:$F,MATCH(Base!$B491,'Bonds ANBIMA'!$A:$A,0))</f>
        <v>3209.0565217391304</v>
      </c>
      <c r="R491" s="21">
        <f>INDEX('Bonds ANBIMA'!$H:$H,MATCH(Base!$B491,'Bonds ANBIMA'!$A:$A,0))</f>
        <v>0.7142857142857143</v>
      </c>
      <c r="S491" s="7">
        <f>INDEX('Debêntures ANBIMA'!$O:$O,MATCH(Base!$B491,'Debêntures ANBIMA'!$A:$A,0))</f>
        <v>180.05</v>
      </c>
      <c r="T491" s="24">
        <f>INDEX('Debêntures ANBIMA'!$P:$P,MATCH(Base!$B491,'Debêntures ANBIMA'!$A:$A,0))</f>
        <v>0.36277791886962341</v>
      </c>
    </row>
    <row r="492" spans="1:20" x14ac:dyDescent="0.35">
      <c r="A492">
        <f>YEAR(B492)</f>
        <v>2016</v>
      </c>
      <c r="B492" s="12">
        <f>DATE(YEAR(G492),MONTH(G492),DAY(1))</f>
        <v>42522</v>
      </c>
      <c r="C492">
        <f>IF(E492&lt;&gt;E491,C491+1,C491)</f>
        <v>47</v>
      </c>
      <c r="D492" s="6" t="s">
        <v>221</v>
      </c>
      <c r="E492" s="6" t="s">
        <v>220</v>
      </c>
      <c r="F492" s="6" t="s">
        <v>233</v>
      </c>
      <c r="G492" s="1">
        <v>42531</v>
      </c>
      <c r="H492" s="1" t="s">
        <v>224</v>
      </c>
      <c r="I492" s="7">
        <f>IF(H492-G492&gt;(365*5),1,0)</f>
        <v>1</v>
      </c>
      <c r="J492" s="22">
        <v>1</v>
      </c>
      <c r="K492" s="9">
        <f>IF($N492="USD",INDEX('Dólar Spot'!$C:$C,MATCH(Base!$G492,'Dólar Spot'!$A:$A,0)),"")</f>
        <v>3.4255</v>
      </c>
      <c r="L492" s="8">
        <v>1250000000</v>
      </c>
      <c r="M492" s="7">
        <f>IF(N492="USD",L492*K492/1000000,L492/1000000)</f>
        <v>4281.875</v>
      </c>
      <c r="N492" s="6" t="s">
        <v>16</v>
      </c>
      <c r="O492" s="9" t="str" cm="1">
        <f t="array" ref="O492">INDEX(Ratings!$B$2:$L$42,_xlfn.XMATCH(Base!E492,Ratings!$A$2:$A$42),_xlfn.XMATCH(YEAR(Base!G492),Ratings!$B$1:$L$1))</f>
        <v>BBB</v>
      </c>
      <c r="P492">
        <f>IF(AND(O492&lt;&gt;"BBB-",O492&lt;&gt;"BBB",O492&lt;&gt;"BBB+"),0,1)</f>
        <v>1</v>
      </c>
      <c r="Q492" s="7">
        <f>INDEX('Bonds ANBIMA'!$F:$F,MATCH(Base!$B492,'Bonds ANBIMA'!$A:$A,0))</f>
        <v>3423.8772727272722</v>
      </c>
      <c r="R492" s="21">
        <f>INDEX('Bonds ANBIMA'!$H:$H,MATCH(Base!$B492,'Bonds ANBIMA'!$A:$A,0))</f>
        <v>0.5714285714285714</v>
      </c>
      <c r="S492" s="7">
        <f>INDEX('Debêntures ANBIMA'!$O:$O,MATCH(Base!$B492,'Debêntures ANBIMA'!$A:$A,0))</f>
        <v>313.18954558823532</v>
      </c>
      <c r="T492" s="24">
        <f>INDEX('Debêntures ANBIMA'!$P:$P,MATCH(Base!$B492,'Debêntures ANBIMA'!$A:$A,0))</f>
        <v>0.82799998804889829</v>
      </c>
    </row>
    <row r="493" spans="1:20" x14ac:dyDescent="0.35">
      <c r="A493">
        <f>YEAR(B493)</f>
        <v>2012</v>
      </c>
      <c r="B493" s="12">
        <f>DATE(YEAR(G493),MONTH(G493),DAY(1))</f>
        <v>40909</v>
      </c>
      <c r="C493">
        <f>IF(E493&lt;&gt;E492,C492+1,C492)</f>
        <v>47</v>
      </c>
      <c r="D493" s="6" t="s">
        <v>221</v>
      </c>
      <c r="E493" s="6" t="s">
        <v>220</v>
      </c>
      <c r="F493" s="6" t="s">
        <v>233</v>
      </c>
      <c r="G493" s="1">
        <v>40919</v>
      </c>
      <c r="H493" s="1" t="s">
        <v>225</v>
      </c>
      <c r="I493" s="7">
        <f>IF(H493-G493&gt;(365*5),1,0)</f>
        <v>1</v>
      </c>
      <c r="J493" s="22">
        <v>1</v>
      </c>
      <c r="K493" s="9">
        <f>IF($N493="USD",INDEX('Dólar Spot'!$C:$C,MATCH(Base!$G493,'Dólar Spot'!$A:$A,0)),"")</f>
        <v>1.8041</v>
      </c>
      <c r="L493" s="8">
        <v>2250000000</v>
      </c>
      <c r="M493" s="7">
        <f>IF(N493="USD",L493*K493/1000000,L493/1000000)</f>
        <v>4059.2249999999999</v>
      </c>
      <c r="N493" s="6" t="s">
        <v>16</v>
      </c>
      <c r="O493" s="9" t="str" cm="1">
        <f t="array" ref="O493">INDEX(Ratings!$B$2:$L$42,_xlfn.XMATCH(Base!E493,Ratings!$A$2:$A$42),_xlfn.XMATCH(YEAR(Base!G493),Ratings!$B$1:$L$1))</f>
        <v>BBB+</v>
      </c>
      <c r="P493">
        <f>IF(AND(O493&lt;&gt;"BBB-",O493&lt;&gt;"BBB",O493&lt;&gt;"BBB+"),0,1)</f>
        <v>1</v>
      </c>
      <c r="Q493" s="7">
        <f>INDEX('Bonds ANBIMA'!$F:$F,MATCH(Base!$B493,'Bonds ANBIMA'!$A:$A,0))</f>
        <v>1439.4307014742017</v>
      </c>
      <c r="R493" s="21">
        <f>INDEX('Bonds ANBIMA'!$H:$H,MATCH(Base!$B493,'Bonds ANBIMA'!$A:$A,0))</f>
        <v>0.81690140845070425</v>
      </c>
      <c r="S493" s="7">
        <f>INDEX('Debêntures ANBIMA'!$O:$O,MATCH(Base!$B493,'Debêntures ANBIMA'!$A:$A,0))</f>
        <v>635.85528947368425</v>
      </c>
      <c r="T493" s="24">
        <f>INDEX('Debêntures ANBIMA'!$P:$P,MATCH(Base!$B493,'Debêntures ANBIMA'!$A:$A,0))</f>
        <v>0.94685980561366556</v>
      </c>
    </row>
    <row r="494" spans="1:20" x14ac:dyDescent="0.35">
      <c r="A494">
        <f>YEAR(B494)</f>
        <v>2014</v>
      </c>
      <c r="B494" s="12">
        <f>DATE(YEAR(G494),MONTH(G494),DAY(1))</f>
        <v>41640</v>
      </c>
      <c r="C494">
        <f>IF(E494&lt;&gt;E493,C493+1,C493)</f>
        <v>47</v>
      </c>
      <c r="D494" s="6" t="s">
        <v>343</v>
      </c>
      <c r="E494" s="6" t="s">
        <v>220</v>
      </c>
      <c r="F494" s="6" t="s">
        <v>346</v>
      </c>
      <c r="G494" s="1">
        <v>41654</v>
      </c>
      <c r="H494" s="1">
        <v>44211</v>
      </c>
      <c r="I494" s="7">
        <f>IF(H494-G494&gt;(365*5),1,0)</f>
        <v>1</v>
      </c>
      <c r="J494" s="22">
        <v>1</v>
      </c>
      <c r="K494" s="9" t="str">
        <f>IF($N494="USD",INDEX('Dólar Spot'!$C:$C,MATCH(Base!$G495,'Dólar Spot'!$A:$A,0)),"")</f>
        <v/>
      </c>
      <c r="L494" s="8">
        <v>600000000</v>
      </c>
      <c r="M494" s="7">
        <f>IF(N494="USD",L494*K494/1000000,L494/1000000)</f>
        <v>600</v>
      </c>
      <c r="N494" s="6" t="s">
        <v>347</v>
      </c>
      <c r="O494" s="9" t="str" cm="1">
        <f t="array" ref="O494">INDEX(Ratings!$B$2:$L$42,_xlfn.XMATCH(Base!E495,Ratings!$A$2:$A$42),_xlfn.XMATCH(YEAR(Base!G495),Ratings!$B$1:$L$1))</f>
        <v>BBB+</v>
      </c>
      <c r="P494">
        <f>IF(AND(O494&lt;&gt;"BBB-",O494&lt;&gt;"BBB",O494&lt;&gt;"BBB+"),0,1)</f>
        <v>1</v>
      </c>
      <c r="Q494" s="7">
        <f>INDEX('Bonds ANBIMA'!$F:$F,MATCH(Base!$B495,'Bonds ANBIMA'!$A:$A,0))</f>
        <v>3279.2815700680271</v>
      </c>
      <c r="R494" s="21">
        <f>INDEX('Bonds ANBIMA'!$H:$H,MATCH(Base!$B495,'Bonds ANBIMA'!$A:$A,0))</f>
        <v>0.85714285714285721</v>
      </c>
      <c r="S494" s="7">
        <f>INDEX('Debêntures ANBIMA'!$O:$O,MATCH(Base!$B495,'Debêntures ANBIMA'!$A:$A,0))</f>
        <v>300.74160000000001</v>
      </c>
      <c r="T494" s="24">
        <f>INDEX('Debêntures ANBIMA'!$P:$P,MATCH(Base!$B495,'Debêntures ANBIMA'!$A:$A,0))</f>
        <v>0.84991447695821387</v>
      </c>
    </row>
    <row r="495" spans="1:20" x14ac:dyDescent="0.35">
      <c r="A495">
        <f>YEAR(B495)</f>
        <v>2015</v>
      </c>
      <c r="B495" s="12">
        <f>DATE(YEAR(G495),MONTH(G495),DAY(1))</f>
        <v>42217</v>
      </c>
      <c r="C495">
        <f>IF(E495&lt;&gt;E494,C494+1,C494)</f>
        <v>47</v>
      </c>
      <c r="D495" s="6" t="s">
        <v>343</v>
      </c>
      <c r="E495" s="6" t="s">
        <v>220</v>
      </c>
      <c r="F495" s="6" t="s">
        <v>346</v>
      </c>
      <c r="G495" s="1">
        <v>42231</v>
      </c>
      <c r="H495" s="1">
        <v>44058</v>
      </c>
      <c r="I495" s="7">
        <f>IF(H495-G495&gt;(365*5),1,0)</f>
        <v>1</v>
      </c>
      <c r="J495" s="22">
        <v>1</v>
      </c>
      <c r="K495" s="9" t="str">
        <f>IF($N495="USD",INDEX('Dólar Spot'!$C:$C,MATCH(Base!$G496,'Dólar Spot'!$A:$A,0)),"")</f>
        <v/>
      </c>
      <c r="L495" s="8">
        <v>800000000</v>
      </c>
      <c r="M495" s="7">
        <f>IF(N495="USD",L495*K495/1000000,L495/1000000)</f>
        <v>800</v>
      </c>
      <c r="N495" s="6" t="s">
        <v>347</v>
      </c>
      <c r="O495" s="9" t="str" cm="1">
        <f t="array" ref="O495">INDEX(Ratings!$B$2:$L$42,_xlfn.XMATCH(Base!E496,Ratings!$A$2:$A$42),_xlfn.XMATCH(YEAR(Base!G496),Ratings!$B$1:$L$1))</f>
        <v>BBB+</v>
      </c>
      <c r="P495">
        <f>IF(AND(O495&lt;&gt;"BBB-",O495&lt;&gt;"BBB",O495&lt;&gt;"BBB+"),0,1)</f>
        <v>1</v>
      </c>
      <c r="Q495" s="7">
        <f>INDEX('Bonds ANBIMA'!$F:$F,MATCH(Base!$B496,'Bonds ANBIMA'!$A:$A,0))</f>
        <v>2080.5236353372438</v>
      </c>
      <c r="R495" s="21">
        <f>INDEX('Bonds ANBIMA'!$H:$H,MATCH(Base!$B496,'Bonds ANBIMA'!$A:$A,0))</f>
        <v>0.7592592592592593</v>
      </c>
      <c r="S495" s="7">
        <f>INDEX('Debêntures ANBIMA'!$O:$O,MATCH(Base!$B496,'Debêntures ANBIMA'!$A:$A,0))</f>
        <v>173.36775</v>
      </c>
      <c r="T495" s="24">
        <f>INDEX('Debêntures ANBIMA'!$P:$P,MATCH(Base!$B496,'Debêntures ANBIMA'!$A:$A,0))</f>
        <v>0.8812660969248598</v>
      </c>
    </row>
    <row r="496" spans="1:20" x14ac:dyDescent="0.35">
      <c r="A496">
        <f>YEAR(B496)</f>
        <v>2014</v>
      </c>
      <c r="B496" s="12">
        <f>DATE(YEAR(G496),MONTH(G496),DAY(1))</f>
        <v>41640</v>
      </c>
      <c r="C496">
        <f>IF(E496&lt;&gt;E495,C495+1,C495)</f>
        <v>47</v>
      </c>
      <c r="D496" s="6" t="s">
        <v>343</v>
      </c>
      <c r="E496" s="6" t="s">
        <v>220</v>
      </c>
      <c r="F496" s="6" t="s">
        <v>346</v>
      </c>
      <c r="G496" s="1">
        <v>41654</v>
      </c>
      <c r="H496" s="1">
        <v>45306</v>
      </c>
      <c r="I496" s="7">
        <f>IF(H496-G496&gt;(365*5),1,0)</f>
        <v>1</v>
      </c>
      <c r="J496" s="22">
        <v>1</v>
      </c>
      <c r="K496" s="9" t="str">
        <f>IF($N496="USD",INDEX('Dólar Spot'!$C:$C,MATCH(Base!$G497,'Dólar Spot'!$A:$A,0)),"")</f>
        <v/>
      </c>
      <c r="L496" s="8">
        <v>150000000</v>
      </c>
      <c r="M496" s="7">
        <f>IF(N496="USD",L496*K496/1000000,L496/1000000)</f>
        <v>150</v>
      </c>
      <c r="N496" s="6" t="s">
        <v>347</v>
      </c>
      <c r="O496" s="9" t="str" cm="1">
        <f t="array" ref="O496">INDEX(Ratings!$B$2:$L$42,_xlfn.XMATCH(Base!E497,Ratings!$A$2:$A$42),_xlfn.XMATCH(YEAR(Base!G497),Ratings!$B$1:$L$1))</f>
        <v>BBB+</v>
      </c>
      <c r="P496">
        <f>IF(AND(O496&lt;&gt;"BBB-",O496&lt;&gt;"BBB",O496&lt;&gt;"BBB+"),0,1)</f>
        <v>1</v>
      </c>
      <c r="Q496" s="7">
        <f>INDEX('Bonds ANBIMA'!$F:$F,MATCH(Base!$B497,'Bonds ANBIMA'!$A:$A,0))</f>
        <v>3279.2815700680271</v>
      </c>
      <c r="R496" s="21">
        <f>INDEX('Bonds ANBIMA'!$H:$H,MATCH(Base!$B497,'Bonds ANBIMA'!$A:$A,0))</f>
        <v>0.85714285714285721</v>
      </c>
      <c r="S496" s="7">
        <f>INDEX('Debêntures ANBIMA'!$O:$O,MATCH(Base!$B497,'Debêntures ANBIMA'!$A:$A,0))</f>
        <v>300.74160000000001</v>
      </c>
      <c r="T496" s="24">
        <f>INDEX('Debêntures ANBIMA'!$P:$P,MATCH(Base!$B497,'Debêntures ANBIMA'!$A:$A,0))</f>
        <v>0.84991447695821387</v>
      </c>
    </row>
    <row r="497" spans="1:20" x14ac:dyDescent="0.35">
      <c r="A497">
        <f>YEAR(B497)</f>
        <v>2015</v>
      </c>
      <c r="B497" s="12">
        <f>DATE(YEAR(G497),MONTH(G497),DAY(1))</f>
        <v>42217</v>
      </c>
      <c r="C497">
        <f>IF(E497&lt;&gt;E496,C496+1,C496)</f>
        <v>47</v>
      </c>
      <c r="D497" s="6" t="s">
        <v>343</v>
      </c>
      <c r="E497" s="6" t="s">
        <v>220</v>
      </c>
      <c r="F497" s="6" t="s">
        <v>346</v>
      </c>
      <c r="G497" s="1">
        <v>42231</v>
      </c>
      <c r="H497" s="1">
        <v>44788</v>
      </c>
      <c r="I497" s="7">
        <f>IF(H497-G497&gt;(365*5),1,0)</f>
        <v>1</v>
      </c>
      <c r="J497" s="22">
        <v>1</v>
      </c>
      <c r="K497" s="9" t="str">
        <f>IF($N497="USD",INDEX('Dólar Spot'!$C:$C,MATCH(Base!$G498,'Dólar Spot'!$A:$A,0)),"")</f>
        <v/>
      </c>
      <c r="L497" s="8">
        <v>550000000</v>
      </c>
      <c r="M497" s="7">
        <f>IF(N497="USD",L497*K497/1000000,L497/1000000)</f>
        <v>550</v>
      </c>
      <c r="N497" s="6" t="s">
        <v>347</v>
      </c>
      <c r="O497" s="9" t="str" cm="1">
        <f t="array" ref="O497">INDEX(Ratings!$B$2:$L$42,_xlfn.XMATCH(Base!E498,Ratings!$A$2:$A$42),_xlfn.XMATCH(YEAR(Base!G498),Ratings!$B$1:$L$1))</f>
        <v>BBB+</v>
      </c>
      <c r="P497">
        <f>IF(AND(O497&lt;&gt;"BBB-",O497&lt;&gt;"BBB",O497&lt;&gt;"BBB+"),0,1)</f>
        <v>1</v>
      </c>
      <c r="Q497" s="7">
        <f>INDEX('Bonds ANBIMA'!$F:$F,MATCH(Base!$B498,'Bonds ANBIMA'!$A:$A,0))</f>
        <v>2080.5236353372438</v>
      </c>
      <c r="R497" s="21">
        <f>INDEX('Bonds ANBIMA'!$H:$H,MATCH(Base!$B498,'Bonds ANBIMA'!$A:$A,0))</f>
        <v>0.7592592592592593</v>
      </c>
      <c r="S497" s="7">
        <f>INDEX('Debêntures ANBIMA'!$O:$O,MATCH(Base!$B498,'Debêntures ANBIMA'!$A:$A,0))</f>
        <v>173.36775</v>
      </c>
      <c r="T497" s="24">
        <f>INDEX('Debêntures ANBIMA'!$P:$P,MATCH(Base!$B498,'Debêntures ANBIMA'!$A:$A,0))</f>
        <v>0.8812660969248598</v>
      </c>
    </row>
    <row r="498" spans="1:20" x14ac:dyDescent="0.35">
      <c r="A498">
        <f>YEAR(B498)</f>
        <v>2014</v>
      </c>
      <c r="B498" s="12">
        <f>DATE(YEAR(G498),MONTH(G498),DAY(1))</f>
        <v>41640</v>
      </c>
      <c r="C498">
        <f>IF(E498&lt;&gt;E497,C497+1,C497)</f>
        <v>47</v>
      </c>
      <c r="D498" s="6" t="s">
        <v>343</v>
      </c>
      <c r="E498" s="6" t="s">
        <v>220</v>
      </c>
      <c r="F498" s="6" t="s">
        <v>346</v>
      </c>
      <c r="G498" s="1">
        <v>41654</v>
      </c>
      <c r="H498" s="1">
        <v>46037</v>
      </c>
      <c r="I498" s="7">
        <f>IF(H498-G498&gt;(365*5),1,0)</f>
        <v>1</v>
      </c>
      <c r="J498" s="22">
        <v>1</v>
      </c>
      <c r="K498" s="9" t="str">
        <f>IF($N498="USD",INDEX('Dólar Spot'!$C:$C,MATCH(Base!$G499,'Dólar Spot'!$A:$A,0)),"")</f>
        <v/>
      </c>
      <c r="L498" s="8">
        <v>100000000</v>
      </c>
      <c r="M498" s="7">
        <f>IF(N498="USD",L498*K498/1000000,L498/1000000)</f>
        <v>100</v>
      </c>
      <c r="N498" s="6" t="s">
        <v>347</v>
      </c>
      <c r="O498" s="9" t="str" cm="1">
        <f t="array" ref="O498">INDEX(Ratings!$B$2:$L$42,_xlfn.XMATCH(Base!E499,Ratings!$A$2:$A$42),_xlfn.XMATCH(YEAR(Base!G499),Ratings!$B$1:$L$1))</f>
        <v>BBB+</v>
      </c>
      <c r="P498">
        <f>IF(AND(O498&lt;&gt;"BBB-",O498&lt;&gt;"BBB",O498&lt;&gt;"BBB+"),0,1)</f>
        <v>1</v>
      </c>
      <c r="Q498" s="7">
        <f>INDEX('Bonds ANBIMA'!$F:$F,MATCH(Base!$B499,'Bonds ANBIMA'!$A:$A,0))</f>
        <v>2080.5236353372438</v>
      </c>
      <c r="R498" s="21">
        <f>INDEX('Bonds ANBIMA'!$H:$H,MATCH(Base!$B499,'Bonds ANBIMA'!$A:$A,0))</f>
        <v>0.7592592592592593</v>
      </c>
      <c r="S498" s="7">
        <f>INDEX('Debêntures ANBIMA'!$O:$O,MATCH(Base!$B499,'Debêntures ANBIMA'!$A:$A,0))</f>
        <v>173.36775</v>
      </c>
      <c r="T498" s="24">
        <f>INDEX('Debêntures ANBIMA'!$P:$P,MATCH(Base!$B499,'Debêntures ANBIMA'!$A:$A,0))</f>
        <v>0.8812660969248598</v>
      </c>
    </row>
    <row r="499" spans="1:20" x14ac:dyDescent="0.35">
      <c r="A499">
        <f>YEAR(B499)</f>
        <v>2014</v>
      </c>
      <c r="B499" s="12">
        <f>DATE(YEAR(G499),MONTH(G499),DAY(1))</f>
        <v>41640</v>
      </c>
      <c r="C499">
        <f>IF(E499&lt;&gt;E498,C498+1,C498)</f>
        <v>47</v>
      </c>
      <c r="D499" s="6" t="s">
        <v>343</v>
      </c>
      <c r="E499" s="6" t="s">
        <v>220</v>
      </c>
      <c r="F499" s="6" t="s">
        <v>346</v>
      </c>
      <c r="G499" s="1">
        <v>41654</v>
      </c>
      <c r="H499" s="1">
        <v>47133</v>
      </c>
      <c r="I499" s="7">
        <f>IF(H499-G499&gt;(365*5),1,0)</f>
        <v>1</v>
      </c>
      <c r="J499" s="22">
        <v>1</v>
      </c>
      <c r="K499" s="9" t="str">
        <f>IF($N499="USD",INDEX('Dólar Spot'!$C:$C,MATCH(Base!$G500,'Dólar Spot'!$A:$A,0)),"")</f>
        <v/>
      </c>
      <c r="L499" s="8">
        <v>150000000</v>
      </c>
      <c r="M499" s="7">
        <f>IF(N499="USD",L499*K499/1000000,L499/1000000)</f>
        <v>150</v>
      </c>
      <c r="N499" s="6" t="s">
        <v>347</v>
      </c>
      <c r="O499" s="9" t="str" cm="1">
        <f t="array" ref="O499">INDEX(Ratings!$B$2:$L$42,_xlfn.XMATCH(Base!E500,Ratings!$A$2:$A$42),_xlfn.XMATCH(YEAR(Base!G500),Ratings!$B$1:$L$1))</f>
        <v>BBB+</v>
      </c>
      <c r="P499">
        <f>IF(AND(O499&lt;&gt;"BBB-",O499&lt;&gt;"BBB",O499&lt;&gt;"BBB+"),0,1)</f>
        <v>1</v>
      </c>
      <c r="Q499" s="7">
        <f>INDEX('Bonds ANBIMA'!$F:$F,MATCH(Base!$B500,'Bonds ANBIMA'!$A:$A,0))</f>
        <v>1631.3155405405405</v>
      </c>
      <c r="R499" s="21">
        <f>INDEX('Bonds ANBIMA'!$H:$H,MATCH(Base!$B500,'Bonds ANBIMA'!$A:$A,0))</f>
        <v>0.81690140845070425</v>
      </c>
      <c r="S499" s="7">
        <f>INDEX('Debêntures ANBIMA'!$O:$O,MATCH(Base!$B500,'Debêntures ANBIMA'!$A:$A,0))</f>
        <v>273.69687499999998</v>
      </c>
      <c r="T499" s="24">
        <f>INDEX('Debêntures ANBIMA'!$P:$P,MATCH(Base!$B500,'Debêntures ANBIMA'!$A:$A,0))</f>
        <v>0.76771990849315863</v>
      </c>
    </row>
    <row r="500" spans="1:20" x14ac:dyDescent="0.35">
      <c r="A500">
        <f>YEAR(B500)</f>
        <v>2012</v>
      </c>
      <c r="B500" s="12">
        <f>DATE(YEAR(G500),MONTH(G500),DAY(1))</f>
        <v>41153</v>
      </c>
      <c r="C500">
        <f>IF(E500&lt;&gt;E499,C499+1,C499)</f>
        <v>47</v>
      </c>
      <c r="D500" s="6" t="s">
        <v>226</v>
      </c>
      <c r="E500" s="6" t="s">
        <v>220</v>
      </c>
      <c r="F500" s="6" t="s">
        <v>233</v>
      </c>
      <c r="G500" s="1">
        <v>41163</v>
      </c>
      <c r="H500" s="1" t="s">
        <v>227</v>
      </c>
      <c r="I500" s="7">
        <f>IF(H500-G500&gt;(365*5),1,0)</f>
        <v>1</v>
      </c>
      <c r="J500" s="22">
        <v>1</v>
      </c>
      <c r="K500" s="9">
        <f>IF($N500="USD",INDEX('Dólar Spot'!$C:$C,MATCH(Base!$G494,'Dólar Spot'!$A:$A,0)),"")</f>
        <v>2.3464999999999998</v>
      </c>
      <c r="L500" s="8">
        <v>1500000000</v>
      </c>
      <c r="M500" s="7">
        <f>IF(N500="USD",L500*K500/1000000,L500/1000000)</f>
        <v>3519.7499999999995</v>
      </c>
      <c r="N500" s="6" t="s">
        <v>16</v>
      </c>
      <c r="O500" s="9" t="str" cm="1">
        <f t="array" ref="O500">INDEX(Ratings!$B$2:$L$42,_xlfn.XMATCH(Base!E494,Ratings!$A$2:$A$42),_xlfn.XMATCH(YEAR(Base!G494),Ratings!$B$1:$L$1))</f>
        <v>BBB+</v>
      </c>
      <c r="P500">
        <f>IF(AND(O500&lt;&gt;"BBB-",O500&lt;&gt;"BBB",O500&lt;&gt;"BBB+"),0,1)</f>
        <v>1</v>
      </c>
      <c r="Q500" s="7">
        <f>INDEX('Bonds ANBIMA'!$F:$F,MATCH(Base!$B494,'Bonds ANBIMA'!$A:$A,0))</f>
        <v>2080.5236353372438</v>
      </c>
      <c r="R500" s="21">
        <f>INDEX('Bonds ANBIMA'!$H:$H,MATCH(Base!$B494,'Bonds ANBIMA'!$A:$A,0))</f>
        <v>0.7592592592592593</v>
      </c>
      <c r="S500" s="7">
        <f>INDEX('Debêntures ANBIMA'!$O:$O,MATCH(Base!$B494,'Debêntures ANBIMA'!$A:$A,0))</f>
        <v>173.36775</v>
      </c>
      <c r="T500" s="24">
        <f>INDEX('Debêntures ANBIMA'!$P:$P,MATCH(Base!$B494,'Debêntures ANBIMA'!$A:$A,0))</f>
        <v>0.8812660969248598</v>
      </c>
    </row>
    <row r="501" spans="1:20" x14ac:dyDescent="0.35">
      <c r="A501">
        <f>YEAR(B501)</f>
        <v>2011</v>
      </c>
      <c r="B501" s="12">
        <f>DATE(YEAR(G501),MONTH(G501),DAY(1))</f>
        <v>40634</v>
      </c>
      <c r="C501">
        <f>IF(E501&lt;&gt;E500,C500+1,C500)</f>
        <v>48</v>
      </c>
      <c r="D501" s="6" t="s">
        <v>229</v>
      </c>
      <c r="E501" s="6" t="s">
        <v>228</v>
      </c>
      <c r="F501" s="6" t="s">
        <v>233</v>
      </c>
      <c r="G501" s="1">
        <v>40638</v>
      </c>
      <c r="H501" s="1" t="s">
        <v>230</v>
      </c>
      <c r="I501" s="7">
        <f>IF(H501-G501&gt;(365*5),1,0)</f>
        <v>1</v>
      </c>
      <c r="J501" s="22">
        <v>1</v>
      </c>
      <c r="K501" s="9">
        <f>IF($N501="USD",INDEX('Dólar Spot'!$C:$C,MATCH(Base!$G501,'Dólar Spot'!$A:$A,0)),"")</f>
        <v>1.6079000000000001</v>
      </c>
      <c r="L501" s="8">
        <v>750000000</v>
      </c>
      <c r="M501" s="7">
        <f>IF(N501="USD",L501*K501/1000000,L501/1000000)</f>
        <v>1205.925</v>
      </c>
      <c r="N501" s="6" t="s">
        <v>16</v>
      </c>
      <c r="O501" s="9" t="str" cm="1">
        <f t="array" ref="O501">INDEX(Ratings!$B$2:$L$42,_xlfn.XMATCH(Base!E501,Ratings!$A$2:$A$42),_xlfn.XMATCH(YEAR(Base!G501),Ratings!$B$1:$L$1))</f>
        <v>BBB-</v>
      </c>
      <c r="P501">
        <f>IF(AND(O501&lt;&gt;"BBB-",O501&lt;&gt;"BBB",O501&lt;&gt;"BBB+"),0,1)</f>
        <v>1</v>
      </c>
      <c r="Q501" s="7">
        <f>INDEX('Bonds ANBIMA'!$F:$F,MATCH(Base!$B501,'Bonds ANBIMA'!$A:$A,0))</f>
        <v>1407.9328902834009</v>
      </c>
      <c r="R501" s="21">
        <f>INDEX('Bonds ANBIMA'!$H:$H,MATCH(Base!$B501,'Bonds ANBIMA'!$A:$A,0))</f>
        <v>0.5862068965517242</v>
      </c>
      <c r="S501" s="7">
        <f>INDEX('Debêntures ANBIMA'!$O:$O,MATCH(Base!$B501,'Debêntures ANBIMA'!$A:$A,0))</f>
        <v>305.92307692307691</v>
      </c>
      <c r="T501" s="24">
        <f>INDEX('Debêntures ANBIMA'!$P:$P,MATCH(Base!$B501,'Debêntures ANBIMA'!$A:$A,0))</f>
        <v>0.94971083731455874</v>
      </c>
    </row>
    <row r="502" spans="1:20" x14ac:dyDescent="0.35">
      <c r="A502">
        <f>YEAR(B502)</f>
        <v>2014</v>
      </c>
      <c r="B502" s="12">
        <f>DATE(YEAR(G502),MONTH(G502),DAY(1))</f>
        <v>41883</v>
      </c>
      <c r="C502">
        <f>IF(E502&lt;&gt;E501,C501+1,C501)</f>
        <v>48</v>
      </c>
      <c r="D502" s="6" t="s">
        <v>344</v>
      </c>
      <c r="E502" s="6" t="s">
        <v>228</v>
      </c>
      <c r="F502" s="6" t="s">
        <v>346</v>
      </c>
      <c r="G502" s="1">
        <v>41883</v>
      </c>
      <c r="H502" s="1">
        <v>43344</v>
      </c>
      <c r="I502" s="7">
        <f>IF(H502-G502&gt;(365*5),1,0)</f>
        <v>0</v>
      </c>
      <c r="J502" s="22">
        <v>1</v>
      </c>
      <c r="K502" s="9" t="str">
        <f>IF($N502="USD",INDEX('Dólar Spot'!$C:$C,MATCH(Base!$G503,'Dólar Spot'!$A:$A,0)),"")</f>
        <v/>
      </c>
      <c r="L502" s="8">
        <v>150000000</v>
      </c>
      <c r="M502" s="7">
        <f>IF(N502="USD",L502*K502/1000000,L502/1000000)</f>
        <v>150</v>
      </c>
      <c r="N502" s="6" t="s">
        <v>348</v>
      </c>
      <c r="O502" s="9" t="str" cm="1">
        <f t="array" ref="O502">INDEX(Ratings!$B$2:$L$42,_xlfn.XMATCH(Base!E503,Ratings!$A$2:$A$42),_xlfn.XMATCH(YEAR(Base!G503),Ratings!$B$1:$L$1))</f>
        <v>BBB</v>
      </c>
      <c r="P502">
        <f>IF(AND(O502&lt;&gt;"BBB-",O502&lt;&gt;"BBB",O502&lt;&gt;"BBB+"),0,1)</f>
        <v>1</v>
      </c>
      <c r="Q502" s="7">
        <f>INDEX('Bonds ANBIMA'!$F:$F,MATCH(Base!$B503,'Bonds ANBIMA'!$A:$A,0))</f>
        <v>3523.9002</v>
      </c>
      <c r="R502" s="21">
        <f>INDEX('Bonds ANBIMA'!$H:$H,MATCH(Base!$B503,'Bonds ANBIMA'!$A:$A,0))</f>
        <v>0.85714285714285721</v>
      </c>
      <c r="S502" s="7">
        <f>INDEX('Debêntures ANBIMA'!$O:$O,MATCH(Base!$B503,'Debêntures ANBIMA'!$A:$A,0))</f>
        <v>172.92105263157896</v>
      </c>
      <c r="T502" s="24">
        <f>INDEX('Debêntures ANBIMA'!$P:$P,MATCH(Base!$B503,'Debêntures ANBIMA'!$A:$A,0))</f>
        <v>0.76411505098158572</v>
      </c>
    </row>
    <row r="503" spans="1:20" x14ac:dyDescent="0.35">
      <c r="A503">
        <f>YEAR(B503)</f>
        <v>2015</v>
      </c>
      <c r="B503" s="12">
        <f>DATE(YEAR(G503),MONTH(G503),DAY(1))</f>
        <v>42309</v>
      </c>
      <c r="C503">
        <f>IF(E503&lt;&gt;E502,C502+1,C502)</f>
        <v>48</v>
      </c>
      <c r="D503" s="6" t="s">
        <v>344</v>
      </c>
      <c r="E503" s="6" t="s">
        <v>228</v>
      </c>
      <c r="F503" s="6" t="s">
        <v>346</v>
      </c>
      <c r="G503" s="1">
        <v>42313</v>
      </c>
      <c r="H503" s="1">
        <v>45721</v>
      </c>
      <c r="I503" s="7">
        <f>IF(H503-G503&gt;(365*5),1,0)</f>
        <v>1</v>
      </c>
      <c r="J503" s="22">
        <v>1</v>
      </c>
      <c r="K503" s="9" t="str">
        <f>IF($N503="USD",INDEX('Dólar Spot'!$C:$C,MATCH(Base!$G504,'Dólar Spot'!$A:$A,0)),"")</f>
        <v/>
      </c>
      <c r="L503" s="8">
        <v>750000000</v>
      </c>
      <c r="M503" s="7">
        <f>IF(N503="USD",L503*K503/1000000,L503/1000000)</f>
        <v>750</v>
      </c>
      <c r="N503" s="6" t="s">
        <v>348</v>
      </c>
      <c r="O503" s="9" t="str" cm="1">
        <f t="array" ref="O503">INDEX(Ratings!$B$2:$L$42,_xlfn.XMATCH(Base!E504,Ratings!$A$2:$A$42),_xlfn.XMATCH(YEAR(Base!G504),Ratings!$B$1:$L$1))</f>
        <v>BBB-</v>
      </c>
      <c r="P503">
        <f>IF(AND(O503&lt;&gt;"BBB-",O503&lt;&gt;"BBB",O503&lt;&gt;"BBB+"),0,1)</f>
        <v>1</v>
      </c>
      <c r="Q503" s="7">
        <f>INDEX('Bonds ANBIMA'!$F:$F,MATCH(Base!$B504,'Bonds ANBIMA'!$A:$A,0))</f>
        <v>5539.7096969696968</v>
      </c>
      <c r="R503" s="21">
        <f>INDEX('Bonds ANBIMA'!$H:$H,MATCH(Base!$B504,'Bonds ANBIMA'!$A:$A,0))</f>
        <v>0.88235294117647056</v>
      </c>
      <c r="S503" s="7">
        <f>INDEX('Debêntures ANBIMA'!$O:$O,MATCH(Base!$B504,'Debêntures ANBIMA'!$A:$A,0))</f>
        <v>217.85526315789474</v>
      </c>
      <c r="T503" s="24">
        <f>INDEX('Debêntures ANBIMA'!$P:$P,MATCH(Base!$B504,'Debêntures ANBIMA'!$A:$A,0))</f>
        <v>0.70273999605755966</v>
      </c>
    </row>
    <row r="504" spans="1:20" x14ac:dyDescent="0.35">
      <c r="A504">
        <f>YEAR(B504)</f>
        <v>2017</v>
      </c>
      <c r="B504" s="12">
        <f>DATE(YEAR(G504),MONTH(G504),DAY(1))</f>
        <v>42736</v>
      </c>
      <c r="C504">
        <f>IF(E504&lt;&gt;E503,C503+1,C503)</f>
        <v>48</v>
      </c>
      <c r="D504" s="6" t="s">
        <v>344</v>
      </c>
      <c r="E504" s="6" t="s">
        <v>228</v>
      </c>
      <c r="F504" s="6" t="s">
        <v>346</v>
      </c>
      <c r="G504" s="1">
        <v>42745</v>
      </c>
      <c r="H504" s="1">
        <v>44571</v>
      </c>
      <c r="I504" s="7">
        <f>IF(H504-G504&gt;(365*5),1,0)</f>
        <v>1</v>
      </c>
      <c r="J504" s="22">
        <v>1</v>
      </c>
      <c r="K504" s="9" t="str">
        <f>IF($N504="USD",INDEX('Dólar Spot'!$C:$C,MATCH(Base!$G505,'Dólar Spot'!$A:$A,0)),"")</f>
        <v/>
      </c>
      <c r="L504" s="8">
        <v>500000000</v>
      </c>
      <c r="M504" s="7">
        <f>IF(N504="USD",L504*K504/1000000,L504/1000000)</f>
        <v>500</v>
      </c>
      <c r="N504" s="6" t="s">
        <v>348</v>
      </c>
      <c r="O504" s="9" t="str" cm="1">
        <f t="array" ref="O504">INDEX(Ratings!$B$2:$L$42,_xlfn.XMATCH(Base!E505,Ratings!$A$2:$A$42),_xlfn.XMATCH(YEAR(Base!G505),Ratings!$B$1:$L$1))</f>
        <v>BBB</v>
      </c>
      <c r="P504">
        <f>IF(AND(O504&lt;&gt;"BBB-",O504&lt;&gt;"BBB",O504&lt;&gt;"BBB+"),0,1)</f>
        <v>1</v>
      </c>
      <c r="Q504" s="7">
        <f>INDEX('Bonds ANBIMA'!$F:$F,MATCH(Base!$B505,'Bonds ANBIMA'!$A:$A,0))</f>
        <v>2037.4124304985339</v>
      </c>
      <c r="R504" s="21">
        <f>INDEX('Bonds ANBIMA'!$H:$H,MATCH(Base!$B505,'Bonds ANBIMA'!$A:$A,0))</f>
        <v>0.7592592592592593</v>
      </c>
      <c r="S504" s="7">
        <f>INDEX('Debêntures ANBIMA'!$O:$O,MATCH(Base!$B505,'Debêntures ANBIMA'!$A:$A,0))</f>
        <v>256.3813001574074</v>
      </c>
      <c r="T504" s="24">
        <f>INDEX('Debêntures ANBIMA'!$P:$P,MATCH(Base!$B505,'Debêntures ANBIMA'!$A:$A,0))</f>
        <v>0.64091239261671062</v>
      </c>
    </row>
    <row r="505" spans="1:20" x14ac:dyDescent="0.35">
      <c r="A505">
        <f>YEAR(B505)</f>
        <v>2014</v>
      </c>
      <c r="B505" s="12">
        <f>DATE(YEAR(G505),MONTH(G505),DAY(1))</f>
        <v>41883</v>
      </c>
      <c r="C505">
        <f>IF(E505&lt;&gt;E504,C504+1,C504)</f>
        <v>48</v>
      </c>
      <c r="D505" s="6" t="s">
        <v>344</v>
      </c>
      <c r="E505" s="6" t="s">
        <v>228</v>
      </c>
      <c r="F505" s="6" t="s">
        <v>346</v>
      </c>
      <c r="G505" s="1">
        <v>41883</v>
      </c>
      <c r="H505" s="1">
        <v>43709</v>
      </c>
      <c r="I505" s="7">
        <f>IF(H505-G505&gt;(365*5),1,0)</f>
        <v>1</v>
      </c>
      <c r="J505" s="22">
        <v>1</v>
      </c>
      <c r="K505" s="9" t="str">
        <f>IF($N505="USD",INDEX('Dólar Spot'!$C:$C,MATCH(Base!$G506,'Dólar Spot'!$A:$A,0)),"")</f>
        <v/>
      </c>
      <c r="L505" s="8">
        <v>300000000</v>
      </c>
      <c r="M505" s="7">
        <f>IF(N505="USD",L505*K505/1000000,L505/1000000)</f>
        <v>300</v>
      </c>
      <c r="N505" s="6" t="s">
        <v>348</v>
      </c>
      <c r="O505" s="9" t="str" cm="1">
        <f t="array" ref="O505">INDEX(Ratings!$B$2:$L$42,_xlfn.XMATCH(Base!E506,Ratings!$A$2:$A$42),_xlfn.XMATCH(YEAR(Base!G506),Ratings!$B$1:$L$1))</f>
        <v>BBB</v>
      </c>
      <c r="P505">
        <f>IF(AND(O505&lt;&gt;"BBB-",O505&lt;&gt;"BBB",O505&lt;&gt;"BBB+"),0,1)</f>
        <v>1</v>
      </c>
      <c r="Q505" s="7">
        <f>INDEX('Bonds ANBIMA'!$F:$F,MATCH(Base!$B506,'Bonds ANBIMA'!$A:$A,0))</f>
        <v>2037.4124304985339</v>
      </c>
      <c r="R505" s="21">
        <f>INDEX('Bonds ANBIMA'!$H:$H,MATCH(Base!$B506,'Bonds ANBIMA'!$A:$A,0))</f>
        <v>0.7592592592592593</v>
      </c>
      <c r="S505" s="7">
        <f>INDEX('Debêntures ANBIMA'!$O:$O,MATCH(Base!$B506,'Debêntures ANBIMA'!$A:$A,0))</f>
        <v>256.3813001574074</v>
      </c>
      <c r="T505" s="24">
        <f>INDEX('Debêntures ANBIMA'!$P:$P,MATCH(Base!$B506,'Debêntures ANBIMA'!$A:$A,0))</f>
        <v>0.64091239261671062</v>
      </c>
    </row>
    <row r="506" spans="1:20" x14ac:dyDescent="0.35">
      <c r="A506">
        <f>YEAR(B506)</f>
        <v>2014</v>
      </c>
      <c r="B506" s="12">
        <f>DATE(YEAR(G506),MONTH(G506),DAY(1))</f>
        <v>41883</v>
      </c>
      <c r="C506">
        <f>IF(E506&lt;&gt;E505,C505+1,C505)</f>
        <v>48</v>
      </c>
      <c r="D506" s="6" t="s">
        <v>344</v>
      </c>
      <c r="E506" s="6" t="s">
        <v>228</v>
      </c>
      <c r="F506" s="6" t="s">
        <v>346</v>
      </c>
      <c r="G506" s="1">
        <v>41883</v>
      </c>
      <c r="H506" s="1">
        <v>43709</v>
      </c>
      <c r="I506" s="7">
        <f>IF(H506-G506&gt;(365*5),1,0)</f>
        <v>1</v>
      </c>
      <c r="J506" s="22">
        <v>1</v>
      </c>
      <c r="K506" s="9" t="str">
        <f>IF($N506="USD",INDEX('Dólar Spot'!$C:$C,MATCH(Base!$G507,'Dólar Spot'!$A:$A,0)),"")</f>
        <v/>
      </c>
      <c r="L506" s="8">
        <v>150000000</v>
      </c>
      <c r="M506" s="7">
        <f>IF(N506="USD",L506*K506/1000000,L506/1000000)</f>
        <v>150</v>
      </c>
      <c r="N506" s="6" t="s">
        <v>348</v>
      </c>
      <c r="O506" s="9" t="str" cm="1">
        <f t="array" ref="O506">INDEX(Ratings!$B$2:$L$42,_xlfn.XMATCH(Base!E507,Ratings!$A$2:$A$42),_xlfn.XMATCH(YEAR(Base!G507),Ratings!$B$1:$L$1))</f>
        <v>BBB-</v>
      </c>
      <c r="P506">
        <f>IF(AND(O506&lt;&gt;"BBB-",O506&lt;&gt;"BBB",O506&lt;&gt;"BBB+"),0,1)</f>
        <v>1</v>
      </c>
      <c r="Q506" s="7">
        <f>INDEX('Bonds ANBIMA'!$F:$F,MATCH(Base!$B507,'Bonds ANBIMA'!$A:$A,0))</f>
        <v>1861.7137152777777</v>
      </c>
      <c r="R506" s="21">
        <f>INDEX('Bonds ANBIMA'!$H:$H,MATCH(Base!$B507,'Bonds ANBIMA'!$A:$A,0))</f>
        <v>0.9</v>
      </c>
      <c r="S506" s="7">
        <f>INDEX('Debêntures ANBIMA'!$O:$O,MATCH(Base!$B507,'Debêntures ANBIMA'!$A:$A,0))</f>
        <v>444.40800000000002</v>
      </c>
      <c r="T506" s="24">
        <f>INDEX('Debêntures ANBIMA'!$P:$P,MATCH(Base!$B507,'Debêntures ANBIMA'!$A:$A,0))</f>
        <v>0.65436492689733272</v>
      </c>
    </row>
    <row r="507" spans="1:20" x14ac:dyDescent="0.35">
      <c r="A507">
        <f>YEAR(B507)</f>
        <v>2021</v>
      </c>
      <c r="B507" s="12">
        <f>DATE(YEAR(G507),MONTH(G507),DAY(1))</f>
        <v>44228</v>
      </c>
      <c r="C507">
        <f>IF(E507&lt;&gt;E506,C506+1,C506)</f>
        <v>48</v>
      </c>
      <c r="D507" s="6" t="s">
        <v>344</v>
      </c>
      <c r="E507" s="6" t="s">
        <v>228</v>
      </c>
      <c r="F507" s="6" t="s">
        <v>346</v>
      </c>
      <c r="G507" s="1">
        <v>44247</v>
      </c>
      <c r="H507" s="1">
        <v>46073</v>
      </c>
      <c r="I507" s="7">
        <f>IF(H507-G507&gt;(365*5),1,0)</f>
        <v>1</v>
      </c>
      <c r="J507" s="22">
        <v>1</v>
      </c>
      <c r="K507" s="9" t="str">
        <f>IF($N507="USD",INDEX('Dólar Spot'!$C:$C,MATCH(Base!$G508,'Dólar Spot'!$A:$A,0)),"")</f>
        <v/>
      </c>
      <c r="L507" s="8">
        <v>450000000</v>
      </c>
      <c r="M507" s="7">
        <f>IF(N507="USD",L507*K507/1000000,L507/1000000)</f>
        <v>450</v>
      </c>
      <c r="N507" s="6" t="s">
        <v>348</v>
      </c>
      <c r="O507" s="9" t="str" cm="1">
        <f t="array" ref="O507">INDEX(Ratings!$B$2:$L$42,_xlfn.XMATCH(Base!E508,Ratings!$A$2:$A$42),_xlfn.XMATCH(YEAR(Base!G508),Ratings!$B$1:$L$1))</f>
        <v>BBB-</v>
      </c>
      <c r="P507">
        <f>IF(AND(O507&lt;&gt;"BBB-",O507&lt;&gt;"BBB",O507&lt;&gt;"BBB+"),0,1)</f>
        <v>1</v>
      </c>
      <c r="Q507" s="7">
        <f>INDEX('Bonds ANBIMA'!$F:$F,MATCH(Base!$B508,'Bonds ANBIMA'!$A:$A,0))</f>
        <v>830.90625000000023</v>
      </c>
      <c r="R507" s="21">
        <f>INDEX('Bonds ANBIMA'!$H:$H,MATCH(Base!$B508,'Bonds ANBIMA'!$A:$A,0))</f>
        <v>0.72727272727272729</v>
      </c>
      <c r="S507" s="7">
        <f>INDEX('Debêntures ANBIMA'!$O:$O,MATCH(Base!$B508,'Debêntures ANBIMA'!$A:$A,0))</f>
        <v>433.14238554216865</v>
      </c>
      <c r="T507" s="24">
        <f>INDEX('Debêntures ANBIMA'!$P:$P,MATCH(Base!$B508,'Debêntures ANBIMA'!$A:$A,0))</f>
        <v>0.92091969370314131</v>
      </c>
    </row>
    <row r="508" spans="1:20" x14ac:dyDescent="0.35">
      <c r="A508">
        <f>YEAR(B508)</f>
        <v>2021</v>
      </c>
      <c r="B508" s="12">
        <f>DATE(YEAR(G508),MONTH(G508),DAY(1))</f>
        <v>44470</v>
      </c>
      <c r="C508">
        <f>IF(E508&lt;&gt;E507,C507+1,C507)</f>
        <v>48</v>
      </c>
      <c r="D508" s="6" t="s">
        <v>344</v>
      </c>
      <c r="E508" s="6" t="s">
        <v>228</v>
      </c>
      <c r="F508" s="6" t="s">
        <v>346</v>
      </c>
      <c r="G508" s="1">
        <v>44474</v>
      </c>
      <c r="H508" s="1">
        <v>47031</v>
      </c>
      <c r="I508" s="7">
        <f>IF(H508-G508&gt;(365*5),1,0)</f>
        <v>1</v>
      </c>
      <c r="J508" s="22">
        <v>1</v>
      </c>
      <c r="K508" s="9" t="str">
        <f>IF($N508="USD",INDEX('Dólar Spot'!$C:$C,MATCH(Base!$G509,'Dólar Spot'!$A:$A,0)),"")</f>
        <v/>
      </c>
      <c r="L508" s="8">
        <v>500000000</v>
      </c>
      <c r="M508" s="7">
        <f>IF(N508="USD",L508*K508/1000000,L508/1000000)</f>
        <v>500</v>
      </c>
      <c r="N508" s="6" t="s">
        <v>348</v>
      </c>
      <c r="O508" s="9" t="str" cm="1">
        <f t="array" ref="O508">INDEX(Ratings!$B$2:$L$42,_xlfn.XMATCH(Base!E509,Ratings!$A$2:$A$42),_xlfn.XMATCH(YEAR(Base!G509),Ratings!$B$1:$L$1))</f>
        <v>BBB-</v>
      </c>
      <c r="P508">
        <f>IF(AND(O508&lt;&gt;"BBB-",O508&lt;&gt;"BBB",O508&lt;&gt;"BBB+"),0,1)</f>
        <v>1</v>
      </c>
      <c r="Q508" s="7">
        <f>INDEX('Bonds ANBIMA'!$F:$F,MATCH(Base!$B509,'Bonds ANBIMA'!$A:$A,0))</f>
        <v>1480.5273780769235</v>
      </c>
      <c r="R508" s="21">
        <f>INDEX('Bonds ANBIMA'!$H:$H,MATCH(Base!$B509,'Bonds ANBIMA'!$A:$A,0))</f>
        <v>0.5862068965517242</v>
      </c>
      <c r="S508" s="7">
        <f>INDEX('Debêntures ANBIMA'!$O:$O,MATCH(Base!$B509,'Debêntures ANBIMA'!$A:$A,0))</f>
        <v>290</v>
      </c>
      <c r="T508" s="24">
        <f>INDEX('Debêntures ANBIMA'!$P:$P,MATCH(Base!$B509,'Debêntures ANBIMA'!$A:$A,0))</f>
        <v>0.68965517241379315</v>
      </c>
    </row>
    <row r="509" spans="1:20" x14ac:dyDescent="0.35">
      <c r="A509">
        <f>YEAR(B509)</f>
        <v>2011</v>
      </c>
      <c r="B509" s="12">
        <f>DATE(YEAR(G509),MONTH(G509),DAY(1))</f>
        <v>40575</v>
      </c>
      <c r="C509">
        <f>IF(E509&lt;&gt;E508,C508+1,C508)</f>
        <v>48</v>
      </c>
      <c r="D509" s="6" t="s">
        <v>344</v>
      </c>
      <c r="E509" s="6" t="s">
        <v>228</v>
      </c>
      <c r="F509" s="6" t="s">
        <v>346</v>
      </c>
      <c r="G509" s="1">
        <v>40588</v>
      </c>
      <c r="H509" s="1">
        <v>44241</v>
      </c>
      <c r="I509" s="7">
        <f>IF(H509-G509&gt;(365*5),1,0)</f>
        <v>1</v>
      </c>
      <c r="J509" s="22">
        <v>1</v>
      </c>
      <c r="K509" s="9" t="str">
        <f>IF($N509="USD",INDEX('Dólar Spot'!$C:$C,MATCH(Base!$G510,'Dólar Spot'!$A:$A,0)),"")</f>
        <v/>
      </c>
      <c r="L509" s="8">
        <v>600000000</v>
      </c>
      <c r="M509" s="7">
        <f>IF(N509="USD",L509*K509/1000000,L509/1000000)</f>
        <v>600</v>
      </c>
      <c r="N509" s="6" t="s">
        <v>348</v>
      </c>
      <c r="O509" s="9" t="str" cm="1">
        <f t="array" ref="O509">INDEX(Ratings!$B$2:$L$42,_xlfn.XMATCH(Base!E510,Ratings!$A$2:$A$42),_xlfn.XMATCH(YEAR(Base!G510),Ratings!$B$1:$L$1))</f>
        <v>BBB</v>
      </c>
      <c r="P509">
        <f>IF(AND(O509&lt;&gt;"BBB-",O509&lt;&gt;"BBB",O509&lt;&gt;"BBB+"),0,1)</f>
        <v>1</v>
      </c>
      <c r="Q509" s="7">
        <f>INDEX('Bonds ANBIMA'!$F:$F,MATCH(Base!$B510,'Bonds ANBIMA'!$A:$A,0))</f>
        <v>1439.4307014742017</v>
      </c>
      <c r="R509" s="21">
        <f>INDEX('Bonds ANBIMA'!$H:$H,MATCH(Base!$B510,'Bonds ANBIMA'!$A:$A,0))</f>
        <v>0.81690140845070425</v>
      </c>
      <c r="S509" s="7">
        <f>INDEX('Debêntures ANBIMA'!$O:$O,MATCH(Base!$B510,'Debêntures ANBIMA'!$A:$A,0))</f>
        <v>635.85528947368425</v>
      </c>
      <c r="T509" s="24">
        <f>INDEX('Debêntures ANBIMA'!$P:$P,MATCH(Base!$B510,'Debêntures ANBIMA'!$A:$A,0))</f>
        <v>0.94685980561366556</v>
      </c>
    </row>
    <row r="510" spans="1:20" x14ac:dyDescent="0.35">
      <c r="A510">
        <f>YEAR(B510)</f>
        <v>2012</v>
      </c>
      <c r="B510" s="12">
        <f>DATE(YEAR(G510),MONTH(G510),DAY(1))</f>
        <v>40909</v>
      </c>
      <c r="C510">
        <f>IF(E510&lt;&gt;E509,C509+1,C509)</f>
        <v>48</v>
      </c>
      <c r="D510" s="6" t="s">
        <v>344</v>
      </c>
      <c r="E510" s="6" t="s">
        <v>228</v>
      </c>
      <c r="F510" s="6" t="s">
        <v>346</v>
      </c>
      <c r="G510" s="1">
        <v>40928</v>
      </c>
      <c r="H510" s="1">
        <v>43251</v>
      </c>
      <c r="I510" s="7">
        <f>IF(H510-G510&gt;(365*5),1,0)</f>
        <v>1</v>
      </c>
      <c r="J510" s="22">
        <v>1</v>
      </c>
      <c r="K510" s="9" t="str">
        <f>IF($N510="USD",INDEX('Dólar Spot'!$C:$C,MATCH(Base!$G511,'Dólar Spot'!$A:$A,0)),"")</f>
        <v/>
      </c>
      <c r="L510" s="8">
        <v>500000000</v>
      </c>
      <c r="M510" s="7">
        <f>IF(N510="USD",L510*K510/1000000,L510/1000000)</f>
        <v>500</v>
      </c>
      <c r="N510" s="6" t="s">
        <v>348</v>
      </c>
      <c r="O510" s="9" t="str" cm="1">
        <f t="array" ref="O510">INDEX(Ratings!$B$2:$L$42,_xlfn.XMATCH(Base!E511,Ratings!$A$2:$A$42),_xlfn.XMATCH(YEAR(Base!G511),Ratings!$B$1:$L$1))</f>
        <v>BBB</v>
      </c>
      <c r="P510">
        <f>IF(AND(O510&lt;&gt;"BBB-",O510&lt;&gt;"BBB",O510&lt;&gt;"BBB+"),0,1)</f>
        <v>1</v>
      </c>
      <c r="Q510" s="7">
        <f>INDEX('Bonds ANBIMA'!$F:$F,MATCH(Base!$B511,'Bonds ANBIMA'!$A:$A,0))</f>
        <v>1671.3360756756758</v>
      </c>
      <c r="R510" s="21">
        <f>INDEX('Bonds ANBIMA'!$H:$H,MATCH(Base!$B511,'Bonds ANBIMA'!$A:$A,0))</f>
        <v>0.81690140845070425</v>
      </c>
      <c r="S510" s="7">
        <f>INDEX('Debêntures ANBIMA'!$O:$O,MATCH(Base!$B511,'Debêntures ANBIMA'!$A:$A,0))</f>
        <v>384.58057142857143</v>
      </c>
      <c r="T510" s="24">
        <f>INDEX('Debêntures ANBIMA'!$P:$P,MATCH(Base!$B511,'Debêntures ANBIMA'!$A:$A,0))</f>
        <v>0.8593261800811931</v>
      </c>
    </row>
    <row r="511" spans="1:20" x14ac:dyDescent="0.35">
      <c r="A511">
        <f>YEAR(B511)</f>
        <v>2012</v>
      </c>
      <c r="B511" s="12">
        <f>DATE(YEAR(G511),MONTH(G511),DAY(1))</f>
        <v>41244</v>
      </c>
      <c r="C511">
        <f>IF(E511&lt;&gt;E510,C510+1,C510)</f>
        <v>48</v>
      </c>
      <c r="D511" s="6" t="s">
        <v>344</v>
      </c>
      <c r="E511" s="6" t="s">
        <v>228</v>
      </c>
      <c r="F511" s="6" t="s">
        <v>346</v>
      </c>
      <c r="G511" s="1">
        <v>41248</v>
      </c>
      <c r="H511" s="1">
        <v>45356</v>
      </c>
      <c r="I511" s="7">
        <f>IF(H511-G511&gt;(365*5),1,0)</f>
        <v>1</v>
      </c>
      <c r="J511" s="22">
        <v>1</v>
      </c>
      <c r="K511" s="9" t="str">
        <f>IF($N511="USD",INDEX('Dólar Spot'!$C:$C,MATCH(Base!$G512,'Dólar Spot'!$A:$A,0)),"")</f>
        <v/>
      </c>
      <c r="L511" s="8">
        <v>1200000000</v>
      </c>
      <c r="M511" s="7">
        <f>IF(N511="USD",L511*K511/1000000,L511/1000000)</f>
        <v>1200</v>
      </c>
      <c r="N511" s="6" t="s">
        <v>348</v>
      </c>
      <c r="O511" s="9" t="str" cm="1">
        <f t="array" ref="O511">INDEX(Ratings!$B$2:$L$42,_xlfn.XMATCH(Base!E512,Ratings!$A$2:$A$42),_xlfn.XMATCH(YEAR(Base!G512),Ratings!$B$1:$L$1))</f>
        <v>BBB</v>
      </c>
      <c r="P511">
        <f>IF(AND(O511&lt;&gt;"BBB-",O511&lt;&gt;"BBB",O511&lt;&gt;"BBB+"),0,1)</f>
        <v>1</v>
      </c>
      <c r="Q511" s="7">
        <f>INDEX('Bonds ANBIMA'!$F:$F,MATCH(Base!$B512,'Bonds ANBIMA'!$A:$A,0))</f>
        <v>2484.8022746031747</v>
      </c>
      <c r="R511" s="21">
        <f>INDEX('Bonds ANBIMA'!$H:$H,MATCH(Base!$B512,'Bonds ANBIMA'!$A:$A,0))</f>
        <v>0.61224489795918369</v>
      </c>
      <c r="S511" s="7">
        <f>INDEX('Debêntures ANBIMA'!$O:$O,MATCH(Base!$B512,'Debêntures ANBIMA'!$A:$A,0))</f>
        <v>210.23809523809524</v>
      </c>
      <c r="T511" s="24">
        <f>INDEX('Debêntures ANBIMA'!$P:$P,MATCH(Base!$B512,'Debêntures ANBIMA'!$A:$A,0))</f>
        <v>0.57593431483578716</v>
      </c>
    </row>
    <row r="512" spans="1:20" x14ac:dyDescent="0.35">
      <c r="A512">
        <f>YEAR(B512)</f>
        <v>2013</v>
      </c>
      <c r="B512" s="12">
        <f>DATE(YEAR(G512),MONTH(G512),DAY(1))</f>
        <v>41609</v>
      </c>
      <c r="C512">
        <f>IF(E512&lt;&gt;E511,C511+1,C511)</f>
        <v>48</v>
      </c>
      <c r="D512" s="6" t="s">
        <v>344</v>
      </c>
      <c r="E512" s="6" t="s">
        <v>228</v>
      </c>
      <c r="F512" s="6" t="s">
        <v>346</v>
      </c>
      <c r="G512" s="1">
        <v>41613</v>
      </c>
      <c r="H512" s="1">
        <v>45721</v>
      </c>
      <c r="I512" s="7">
        <f>IF(H512-G512&gt;(365*5),1,0)</f>
        <v>1</v>
      </c>
      <c r="J512" s="22">
        <v>1</v>
      </c>
      <c r="K512" s="9" t="str">
        <f>IF($N512="USD",INDEX('Dólar Spot'!$C:$C,MATCH(Base!$G513,'Dólar Spot'!$A:$A,0)),"")</f>
        <v/>
      </c>
      <c r="L512" s="8">
        <v>500000000</v>
      </c>
      <c r="M512" s="7">
        <f>IF(N512="USD",L512*K512/1000000,L512/1000000)</f>
        <v>500</v>
      </c>
      <c r="N512" s="6" t="s">
        <v>348</v>
      </c>
      <c r="O512" s="9" t="str" cm="1">
        <f t="array" ref="O512">INDEX(Ratings!$B$2:$L$42,_xlfn.XMATCH(Base!E513,Ratings!$A$2:$A$42),_xlfn.XMATCH(YEAR(Base!G513),Ratings!$B$1:$L$1))</f>
        <v>BBB</v>
      </c>
      <c r="P512">
        <f>IF(AND(O512&lt;&gt;"BBB-",O512&lt;&gt;"BBB",O512&lt;&gt;"BBB+"),0,1)</f>
        <v>1</v>
      </c>
      <c r="Q512" s="7">
        <f>INDEX('Bonds ANBIMA'!$F:$F,MATCH(Base!$B513,'Bonds ANBIMA'!$A:$A,0))</f>
        <v>1439.4307014742017</v>
      </c>
      <c r="R512" s="21">
        <f>INDEX('Bonds ANBIMA'!$H:$H,MATCH(Base!$B513,'Bonds ANBIMA'!$A:$A,0))</f>
        <v>0.81690140845070425</v>
      </c>
      <c r="S512" s="7">
        <f>INDEX('Debêntures ANBIMA'!$O:$O,MATCH(Base!$B513,'Debêntures ANBIMA'!$A:$A,0))</f>
        <v>635.85528947368425</v>
      </c>
      <c r="T512" s="24">
        <f>INDEX('Debêntures ANBIMA'!$P:$P,MATCH(Base!$B513,'Debêntures ANBIMA'!$A:$A,0))</f>
        <v>0.94685980561366556</v>
      </c>
    </row>
    <row r="513" spans="1:20" x14ac:dyDescent="0.35">
      <c r="A513">
        <f>YEAR(B513)</f>
        <v>2012</v>
      </c>
      <c r="B513" s="12">
        <f>DATE(YEAR(G513),MONTH(G513),DAY(1))</f>
        <v>40909</v>
      </c>
      <c r="C513">
        <f>IF(E513&lt;&gt;E512,C512+1,C512)</f>
        <v>48</v>
      </c>
      <c r="D513" s="6" t="s">
        <v>344</v>
      </c>
      <c r="E513" s="6" t="s">
        <v>228</v>
      </c>
      <c r="F513" s="6" t="s">
        <v>346</v>
      </c>
      <c r="G513" s="1">
        <v>40928</v>
      </c>
      <c r="H513" s="1">
        <v>43251</v>
      </c>
      <c r="I513" s="7">
        <f>IF(H513-G513&gt;(365*5),1,0)</f>
        <v>1</v>
      </c>
      <c r="J513" s="22">
        <v>1</v>
      </c>
      <c r="K513" s="9" t="str">
        <f>IF($N513="USD",INDEX('Dólar Spot'!$C:$C,MATCH(Base!$G514,'Dólar Spot'!$A:$A,0)),"")</f>
        <v/>
      </c>
      <c r="L513" s="8">
        <v>500000000</v>
      </c>
      <c r="M513" s="7">
        <f>IF(N513="USD",L513*K513/1000000,L513/1000000)</f>
        <v>500</v>
      </c>
      <c r="N513" s="6" t="s">
        <v>348</v>
      </c>
      <c r="O513" s="9" t="str" cm="1">
        <f t="array" ref="O513">INDEX(Ratings!$B$2:$L$42,_xlfn.XMATCH(Base!E514,Ratings!$A$2:$A$42),_xlfn.XMATCH(YEAR(Base!G514),Ratings!$B$1:$L$1))</f>
        <v>BBB</v>
      </c>
      <c r="P513">
        <f>IF(AND(O513&lt;&gt;"BBB-",O513&lt;&gt;"BBB",O513&lt;&gt;"BBB+"),0,1)</f>
        <v>1</v>
      </c>
      <c r="Q513" s="7">
        <f>INDEX('Bonds ANBIMA'!$F:$F,MATCH(Base!$B514,'Bonds ANBIMA'!$A:$A,0))</f>
        <v>1382.0987169274538</v>
      </c>
      <c r="R513" s="21">
        <f>INDEX('Bonds ANBIMA'!$H:$H,MATCH(Base!$B514,'Bonds ANBIMA'!$A:$A,0))</f>
        <v>0.81690140845070425</v>
      </c>
      <c r="S513" s="7">
        <f>INDEX('Debêntures ANBIMA'!$O:$O,MATCH(Base!$B514,'Debêntures ANBIMA'!$A:$A,0))</f>
        <v>216.71153846153845</v>
      </c>
      <c r="T513" s="24">
        <f>INDEX('Debêntures ANBIMA'!$P:$P,MATCH(Base!$B514,'Debêntures ANBIMA'!$A:$A,0))</f>
        <v>0.91569793238086783</v>
      </c>
    </row>
    <row r="514" spans="1:20" x14ac:dyDescent="0.35">
      <c r="A514">
        <f>YEAR(B514)</f>
        <v>2012</v>
      </c>
      <c r="B514" s="12">
        <f>DATE(YEAR(G514),MONTH(G514),DAY(1))</f>
        <v>40940</v>
      </c>
      <c r="C514">
        <f>IF(E514&lt;&gt;E513,C513+1,C513)</f>
        <v>48</v>
      </c>
      <c r="D514" s="6" t="s">
        <v>231</v>
      </c>
      <c r="E514" s="6" t="s">
        <v>228</v>
      </c>
      <c r="F514" s="6" t="s">
        <v>233</v>
      </c>
      <c r="G514" s="1">
        <v>40948</v>
      </c>
      <c r="H514" s="1" t="s">
        <v>230</v>
      </c>
      <c r="I514" s="7">
        <f>IF(H514-G514&gt;(365*5),1,0)</f>
        <v>1</v>
      </c>
      <c r="J514" s="22">
        <v>1</v>
      </c>
      <c r="K514" s="9">
        <f>IF($N514="USD",INDEX('Dólar Spot'!$C:$C,MATCH(Base!$G502,'Dólar Spot'!$A:$A,0)),"")</f>
        <v>2.2357999999999998</v>
      </c>
      <c r="L514" s="8">
        <v>500000000</v>
      </c>
      <c r="M514" s="7">
        <f>IF(N514="USD",L514*K514/1000000,L514/1000000)</f>
        <v>1117.9000000000001</v>
      </c>
      <c r="N514" s="6" t="s">
        <v>16</v>
      </c>
      <c r="O514" s="9" t="str" cm="1">
        <f t="array" ref="O514">INDEX(Ratings!$B$2:$L$42,_xlfn.XMATCH(Base!E502,Ratings!$A$2:$A$42),_xlfn.XMATCH(YEAR(Base!G502),Ratings!$B$1:$L$1))</f>
        <v>BBB</v>
      </c>
      <c r="P514">
        <f>IF(AND(O514&lt;&gt;"BBB-",O514&lt;&gt;"BBB",O514&lt;&gt;"BBB+"),0,1)</f>
        <v>1</v>
      </c>
      <c r="Q514" s="7">
        <f>INDEX('Bonds ANBIMA'!$F:$F,MATCH(Base!$B502,'Bonds ANBIMA'!$A:$A,0))</f>
        <v>2037.4124304985339</v>
      </c>
      <c r="R514" s="21">
        <f>INDEX('Bonds ANBIMA'!$H:$H,MATCH(Base!$B502,'Bonds ANBIMA'!$A:$A,0))</f>
        <v>0.7592592592592593</v>
      </c>
      <c r="S514" s="7">
        <f>INDEX('Debêntures ANBIMA'!$O:$O,MATCH(Base!$B502,'Debêntures ANBIMA'!$A:$A,0))</f>
        <v>256.3813001574074</v>
      </c>
      <c r="T514" s="24">
        <f>INDEX('Debêntures ANBIMA'!$P:$P,MATCH(Base!$B502,'Debêntures ANBIMA'!$A:$A,0))</f>
        <v>0.64091239261671062</v>
      </c>
    </row>
    <row r="515" spans="1:20" x14ac:dyDescent="0.35">
      <c r="A515">
        <f>YEAR(B515)</f>
        <v>2014</v>
      </c>
      <c r="B515" s="12">
        <f>DATE(YEAR(G515),MONTH(G515),DAY(1))</f>
        <v>41699</v>
      </c>
      <c r="C515">
        <f>IF(E515&lt;&gt;E514,C514+1,C514)</f>
        <v>48</v>
      </c>
      <c r="D515" s="6" t="s">
        <v>345</v>
      </c>
      <c r="E515" s="6" t="s">
        <v>228</v>
      </c>
      <c r="F515" s="6" t="s">
        <v>346</v>
      </c>
      <c r="G515" s="1">
        <v>41723</v>
      </c>
      <c r="H515" s="1">
        <v>42819</v>
      </c>
      <c r="I515" s="7">
        <f>IF(H515-G515&gt;(365*5),1,0)</f>
        <v>0</v>
      </c>
      <c r="J515" s="22">
        <v>1</v>
      </c>
      <c r="K515" s="9" t="str">
        <f>IF($N515="USD",INDEX('Dólar Spot'!$C:$C,MATCH(Base!$G515,'Dólar Spot'!$A:$A,0)),"")</f>
        <v/>
      </c>
      <c r="L515" s="8">
        <v>450000000</v>
      </c>
      <c r="M515" s="7">
        <f>IF(N515="USD",L515*K515/1000000,L515/1000000)</f>
        <v>450</v>
      </c>
      <c r="N515" s="6" t="s">
        <v>348</v>
      </c>
      <c r="O515" s="9" t="str" cm="1">
        <f t="array" ref="O515">INDEX(Ratings!$B$2:$L$42,_xlfn.XMATCH(Base!E515,Ratings!$A$2:$A$42),_xlfn.XMATCH(YEAR(Base!G515),Ratings!$B$1:$L$1))</f>
        <v>BBB</v>
      </c>
      <c r="P515">
        <f>IF(AND(O515&lt;&gt;"BBB-",O515&lt;&gt;"BBB",O515&lt;&gt;"BBB+"),0,1)</f>
        <v>1</v>
      </c>
      <c r="Q515" s="7">
        <f>INDEX('Bonds ANBIMA'!$F:$F,MATCH(Base!$B515,'Bonds ANBIMA'!$A:$A,0))</f>
        <v>2031.5071925297116</v>
      </c>
      <c r="R515" s="21">
        <f>INDEX('Bonds ANBIMA'!$H:$H,MATCH(Base!$B515,'Bonds ANBIMA'!$A:$A,0))</f>
        <v>0.7592592592592593</v>
      </c>
      <c r="S515" s="7">
        <f>INDEX('Debêntures ANBIMA'!$O:$O,MATCH(Base!$B515,'Debêntures ANBIMA'!$A:$A,0))</f>
        <v>303.8</v>
      </c>
      <c r="T515" s="24">
        <f>INDEX('Debêntures ANBIMA'!$P:$P,MATCH(Base!$B515,'Debêntures ANBIMA'!$A:$A,0))</f>
        <v>0.29953917050691248</v>
      </c>
    </row>
  </sheetData>
  <autoFilter ref="A2:T515" xr:uid="{DD77CBBD-7604-4278-89A0-7AA836A32F82}">
    <sortState xmlns:xlrd2="http://schemas.microsoft.com/office/spreadsheetml/2017/richdata2" ref="A3:T515">
      <sortCondition ref="D3:D515"/>
    </sortState>
  </autoFilter>
  <sortState xmlns:xlrd2="http://schemas.microsoft.com/office/spreadsheetml/2017/richdata2" ref="B3:T515">
    <sortCondition ref="E3:E515"/>
  </sortState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C39C-2997-4338-B9D1-7BE34705EC42}">
  <dimension ref="A1:AD42"/>
  <sheetViews>
    <sheetView showGridLines="0" workbookViewId="0">
      <pane ySplit="1" topLeftCell="A11" activePane="bottomLeft" state="frozen"/>
      <selection pane="bottomLeft" activeCell="M31" sqref="M31"/>
    </sheetView>
  </sheetViews>
  <sheetFormatPr defaultRowHeight="14.5" x14ac:dyDescent="0.35"/>
  <cols>
    <col min="1" max="1" width="33.6328125" customWidth="1"/>
    <col min="2" max="12" width="8.7265625" style="2"/>
    <col min="14" max="14" width="11.7265625" bestFit="1" customWidth="1"/>
  </cols>
  <sheetData>
    <row r="1" spans="1:30" x14ac:dyDescent="0.35">
      <c r="A1" t="s">
        <v>251</v>
      </c>
      <c r="B1" s="2">
        <v>2011</v>
      </c>
      <c r="C1" s="2">
        <f>+B1+1</f>
        <v>2012</v>
      </c>
      <c r="D1" s="2">
        <f t="shared" ref="D1:L1" si="0">+C1+1</f>
        <v>2013</v>
      </c>
      <c r="E1" s="2">
        <f t="shared" si="0"/>
        <v>2014</v>
      </c>
      <c r="F1" s="2">
        <f t="shared" si="0"/>
        <v>2015</v>
      </c>
      <c r="G1" s="2">
        <f t="shared" si="0"/>
        <v>2016</v>
      </c>
      <c r="H1" s="2">
        <f t="shared" si="0"/>
        <v>2017</v>
      </c>
      <c r="I1" s="2">
        <f t="shared" si="0"/>
        <v>2018</v>
      </c>
      <c r="J1" s="2">
        <f t="shared" si="0"/>
        <v>2019</v>
      </c>
      <c r="K1" s="2">
        <f t="shared" si="0"/>
        <v>2020</v>
      </c>
      <c r="L1" s="2">
        <f t="shared" si="0"/>
        <v>2021</v>
      </c>
      <c r="AB1" s="11" t="s">
        <v>252</v>
      </c>
      <c r="AC1" s="11" t="s">
        <v>253</v>
      </c>
      <c r="AD1" s="11" t="s">
        <v>254</v>
      </c>
    </row>
    <row r="2" spans="1:30" x14ac:dyDescent="0.35">
      <c r="A2" t="s">
        <v>12</v>
      </c>
      <c r="B2" s="2" t="s">
        <v>237</v>
      </c>
      <c r="C2" s="2" t="s">
        <v>237</v>
      </c>
      <c r="D2" s="2" t="s">
        <v>237</v>
      </c>
      <c r="E2" s="2" t="s">
        <v>237</v>
      </c>
      <c r="F2" s="2" t="s">
        <v>237</v>
      </c>
      <c r="G2" s="2" t="s">
        <v>237</v>
      </c>
      <c r="H2" s="2" t="s">
        <v>234</v>
      </c>
      <c r="I2" s="2" t="s">
        <v>234</v>
      </c>
      <c r="J2" s="2" t="s">
        <v>234</v>
      </c>
      <c r="K2" s="2" t="s">
        <v>234</v>
      </c>
      <c r="L2" s="2" t="s">
        <v>234</v>
      </c>
      <c r="AB2" t="s">
        <v>255</v>
      </c>
      <c r="AC2" t="s">
        <v>256</v>
      </c>
      <c r="AD2" t="s">
        <v>255</v>
      </c>
    </row>
    <row r="3" spans="1:30" x14ac:dyDescent="0.35">
      <c r="A3" t="s">
        <v>17</v>
      </c>
      <c r="B3" s="2" t="s">
        <v>237</v>
      </c>
      <c r="C3" s="2" t="s">
        <v>237</v>
      </c>
      <c r="D3" s="2" t="s">
        <v>237</v>
      </c>
      <c r="E3" s="2" t="s">
        <v>237</v>
      </c>
      <c r="F3" s="2" t="s">
        <v>237</v>
      </c>
      <c r="G3" s="2" t="s">
        <v>237</v>
      </c>
      <c r="H3" s="2" t="s">
        <v>234</v>
      </c>
      <c r="I3" s="2" t="s">
        <v>234</v>
      </c>
      <c r="J3" s="2" t="s">
        <v>234</v>
      </c>
      <c r="K3" s="2" t="s">
        <v>234</v>
      </c>
      <c r="L3" s="2" t="s">
        <v>234</v>
      </c>
      <c r="AB3" t="s">
        <v>257</v>
      </c>
      <c r="AC3" t="s">
        <v>258</v>
      </c>
      <c r="AD3" t="s">
        <v>257</v>
      </c>
    </row>
    <row r="4" spans="1:30" x14ac:dyDescent="0.35">
      <c r="A4" t="s">
        <v>23</v>
      </c>
      <c r="B4" s="2" t="s">
        <v>239</v>
      </c>
      <c r="C4" s="2" t="s">
        <v>239</v>
      </c>
      <c r="D4" s="2" t="s">
        <v>239</v>
      </c>
      <c r="E4" s="2" t="s">
        <v>239</v>
      </c>
      <c r="F4" s="2" t="s">
        <v>238</v>
      </c>
      <c r="G4" s="2" t="s">
        <v>244</v>
      </c>
      <c r="H4" s="2" t="s">
        <v>244</v>
      </c>
      <c r="I4" s="2" t="s">
        <v>235</v>
      </c>
      <c r="J4" s="2" t="s">
        <v>235</v>
      </c>
      <c r="K4" s="2" t="s">
        <v>235</v>
      </c>
      <c r="L4" s="2" t="s">
        <v>259</v>
      </c>
      <c r="AB4" t="s">
        <v>260</v>
      </c>
      <c r="AC4" t="s">
        <v>261</v>
      </c>
      <c r="AD4" t="s">
        <v>260</v>
      </c>
    </row>
    <row r="5" spans="1:30" x14ac:dyDescent="0.35">
      <c r="A5" t="s">
        <v>26</v>
      </c>
      <c r="B5" s="2" t="s">
        <v>237</v>
      </c>
      <c r="C5" s="2" t="s">
        <v>237</v>
      </c>
      <c r="D5" s="2" t="s">
        <v>237</v>
      </c>
      <c r="E5" s="2" t="s">
        <v>237</v>
      </c>
      <c r="F5" s="2" t="s">
        <v>237</v>
      </c>
      <c r="G5" s="2" t="s">
        <v>237</v>
      </c>
      <c r="H5" s="2" t="s">
        <v>237</v>
      </c>
      <c r="I5" s="2" t="s">
        <v>237</v>
      </c>
      <c r="J5" s="2" t="s">
        <v>245</v>
      </c>
      <c r="K5" s="2" t="s">
        <v>244</v>
      </c>
      <c r="L5" s="2" t="s">
        <v>236</v>
      </c>
      <c r="AB5" t="s">
        <v>262</v>
      </c>
      <c r="AC5" t="s">
        <v>263</v>
      </c>
      <c r="AD5" t="s">
        <v>262</v>
      </c>
    </row>
    <row r="6" spans="1:30" x14ac:dyDescent="0.35">
      <c r="A6" t="s">
        <v>20</v>
      </c>
      <c r="B6" s="2" t="s">
        <v>237</v>
      </c>
      <c r="C6" s="2" t="s">
        <v>237</v>
      </c>
      <c r="D6" s="2" t="s">
        <v>237</v>
      </c>
      <c r="E6" s="2" t="s">
        <v>237</v>
      </c>
      <c r="F6" s="2" t="s">
        <v>237</v>
      </c>
      <c r="G6" s="2" t="s">
        <v>237</v>
      </c>
      <c r="H6" s="2" t="s">
        <v>237</v>
      </c>
      <c r="I6" s="2" t="s">
        <v>237</v>
      </c>
      <c r="J6" s="2" t="s">
        <v>237</v>
      </c>
      <c r="K6" s="2" t="s">
        <v>234</v>
      </c>
      <c r="L6" s="2" t="s">
        <v>234</v>
      </c>
      <c r="AB6" t="s">
        <v>264</v>
      </c>
      <c r="AC6" t="s">
        <v>265</v>
      </c>
      <c r="AD6" t="s">
        <v>264</v>
      </c>
    </row>
    <row r="7" spans="1:30" x14ac:dyDescent="0.35">
      <c r="A7" t="s">
        <v>30</v>
      </c>
      <c r="B7" s="2" t="s">
        <v>238</v>
      </c>
      <c r="C7" s="2" t="s">
        <v>239</v>
      </c>
      <c r="D7" s="2" t="s">
        <v>239</v>
      </c>
      <c r="E7" s="2" t="s">
        <v>239</v>
      </c>
      <c r="F7" s="2" t="s">
        <v>239</v>
      </c>
      <c r="G7" s="2" t="s">
        <v>239</v>
      </c>
      <c r="H7" s="2" t="s">
        <v>239</v>
      </c>
      <c r="I7" s="2" t="s">
        <v>239</v>
      </c>
      <c r="J7" s="2" t="s">
        <v>239</v>
      </c>
      <c r="K7" s="2" t="s">
        <v>238</v>
      </c>
      <c r="L7" s="2" t="s">
        <v>238</v>
      </c>
      <c r="AB7" t="s">
        <v>266</v>
      </c>
      <c r="AC7" t="s">
        <v>267</v>
      </c>
      <c r="AD7" t="s">
        <v>266</v>
      </c>
    </row>
    <row r="8" spans="1:30" x14ac:dyDescent="0.35">
      <c r="A8" t="s">
        <v>43</v>
      </c>
      <c r="B8" s="2" t="s">
        <v>239</v>
      </c>
      <c r="C8" s="2" t="s">
        <v>239</v>
      </c>
      <c r="D8" s="2" t="s">
        <v>239</v>
      </c>
      <c r="E8" s="2" t="s">
        <v>239</v>
      </c>
      <c r="F8" s="2" t="s">
        <v>240</v>
      </c>
      <c r="G8" s="2" t="s">
        <v>240</v>
      </c>
      <c r="H8" s="2" t="s">
        <v>240</v>
      </c>
      <c r="I8" s="2" t="s">
        <v>239</v>
      </c>
      <c r="J8" s="2" t="s">
        <v>234</v>
      </c>
      <c r="K8" s="2" t="s">
        <v>234</v>
      </c>
      <c r="L8" s="2" t="s">
        <v>234</v>
      </c>
      <c r="AB8" t="s">
        <v>239</v>
      </c>
      <c r="AC8" t="s">
        <v>268</v>
      </c>
      <c r="AD8" t="s">
        <v>239</v>
      </c>
    </row>
    <row r="9" spans="1:30" x14ac:dyDescent="0.35">
      <c r="A9" t="s">
        <v>52</v>
      </c>
      <c r="B9" s="2" t="s">
        <v>237</v>
      </c>
      <c r="C9" s="2" t="s">
        <v>237</v>
      </c>
      <c r="D9" s="2" t="s">
        <v>237</v>
      </c>
      <c r="E9" s="2" t="s">
        <v>237</v>
      </c>
      <c r="F9" s="2" t="s">
        <v>237</v>
      </c>
      <c r="G9" s="2" t="s">
        <v>237</v>
      </c>
      <c r="H9" s="2" t="s">
        <v>241</v>
      </c>
      <c r="I9" s="2" t="s">
        <v>242</v>
      </c>
      <c r="J9" s="2" t="s">
        <v>241</v>
      </c>
      <c r="K9" s="2" t="s">
        <v>245</v>
      </c>
      <c r="L9" s="2" t="s">
        <v>245</v>
      </c>
      <c r="AB9" t="s">
        <v>238</v>
      </c>
      <c r="AC9" t="s">
        <v>269</v>
      </c>
      <c r="AD9" t="s">
        <v>238</v>
      </c>
    </row>
    <row r="10" spans="1:30" x14ac:dyDescent="0.35">
      <c r="A10" t="s">
        <v>81</v>
      </c>
      <c r="B10" s="2" t="s">
        <v>240</v>
      </c>
      <c r="C10" s="2" t="s">
        <v>240</v>
      </c>
      <c r="D10" s="2" t="s">
        <v>234</v>
      </c>
      <c r="E10" s="2" t="s">
        <v>234</v>
      </c>
      <c r="F10" s="2" t="s">
        <v>234</v>
      </c>
      <c r="G10" s="2" t="s">
        <v>245</v>
      </c>
      <c r="H10" s="2" t="s">
        <v>245</v>
      </c>
      <c r="I10" s="2" t="s">
        <v>241</v>
      </c>
      <c r="J10" s="2" t="s">
        <v>245</v>
      </c>
      <c r="K10" s="2" t="s">
        <v>245</v>
      </c>
      <c r="L10" s="2" t="s">
        <v>245</v>
      </c>
      <c r="AB10" t="s">
        <v>234</v>
      </c>
      <c r="AC10" t="s">
        <v>270</v>
      </c>
      <c r="AD10" t="s">
        <v>234</v>
      </c>
    </row>
    <row r="11" spans="1:30" x14ac:dyDescent="0.35">
      <c r="A11" t="s">
        <v>55</v>
      </c>
      <c r="B11" s="2" t="s">
        <v>239</v>
      </c>
      <c r="C11" s="2" t="s">
        <v>240</v>
      </c>
      <c r="D11" s="2" t="s">
        <v>240</v>
      </c>
      <c r="E11" s="2" t="s">
        <v>240</v>
      </c>
      <c r="F11" s="2" t="s">
        <v>237</v>
      </c>
      <c r="G11" s="2" t="s">
        <v>237</v>
      </c>
      <c r="H11" s="2" t="s">
        <v>237</v>
      </c>
      <c r="I11" s="2" t="s">
        <v>237</v>
      </c>
      <c r="J11" s="2" t="s">
        <v>237</v>
      </c>
      <c r="K11" s="2" t="s">
        <v>237</v>
      </c>
      <c r="L11" s="2" t="s">
        <v>237</v>
      </c>
      <c r="AB11" t="s">
        <v>245</v>
      </c>
      <c r="AC11" t="s">
        <v>271</v>
      </c>
      <c r="AD11" t="s">
        <v>245</v>
      </c>
    </row>
    <row r="12" spans="1:30" x14ac:dyDescent="0.35">
      <c r="A12" t="s">
        <v>58</v>
      </c>
      <c r="B12" s="2" t="s">
        <v>237</v>
      </c>
      <c r="C12" s="2" t="s">
        <v>243</v>
      </c>
      <c r="D12" s="2" t="s">
        <v>243</v>
      </c>
      <c r="E12" s="2" t="s">
        <v>243</v>
      </c>
      <c r="F12" s="2" t="s">
        <v>243</v>
      </c>
      <c r="G12" s="2" t="s">
        <v>239</v>
      </c>
      <c r="H12" s="2" t="s">
        <v>238</v>
      </c>
      <c r="I12" s="2" t="s">
        <v>238</v>
      </c>
      <c r="J12" s="2" t="s">
        <v>238</v>
      </c>
      <c r="K12" s="2" t="s">
        <v>234</v>
      </c>
      <c r="L12" s="2" t="s">
        <v>234</v>
      </c>
      <c r="AB12" t="s">
        <v>241</v>
      </c>
      <c r="AC12" t="s">
        <v>272</v>
      </c>
      <c r="AD12" t="s">
        <v>241</v>
      </c>
    </row>
    <row r="13" spans="1:30" x14ac:dyDescent="0.35">
      <c r="A13" t="s">
        <v>62</v>
      </c>
      <c r="B13" s="2" t="s">
        <v>234</v>
      </c>
      <c r="C13" s="2" t="s">
        <v>238</v>
      </c>
      <c r="D13" s="2" t="s">
        <v>238</v>
      </c>
      <c r="E13" s="2" t="s">
        <v>238</v>
      </c>
      <c r="F13" s="2" t="s">
        <v>238</v>
      </c>
      <c r="G13" s="2" t="s">
        <v>238</v>
      </c>
      <c r="H13" s="2" t="s">
        <v>238</v>
      </c>
      <c r="I13" s="2" t="s">
        <v>234</v>
      </c>
      <c r="J13" s="2" t="s">
        <v>234</v>
      </c>
      <c r="K13" s="2" t="s">
        <v>234</v>
      </c>
      <c r="L13" s="2" t="s">
        <v>234</v>
      </c>
      <c r="AB13" t="s">
        <v>244</v>
      </c>
      <c r="AC13" t="s">
        <v>273</v>
      </c>
      <c r="AD13" t="s">
        <v>244</v>
      </c>
    </row>
    <row r="14" spans="1:30" x14ac:dyDescent="0.35">
      <c r="A14" t="s">
        <v>70</v>
      </c>
      <c r="B14" s="2" t="s">
        <v>239</v>
      </c>
      <c r="C14" s="2" t="s">
        <v>239</v>
      </c>
      <c r="D14" s="2" t="s">
        <v>238</v>
      </c>
      <c r="E14" s="2" t="s">
        <v>238</v>
      </c>
      <c r="F14" s="2" t="s">
        <v>234</v>
      </c>
      <c r="G14" s="2" t="s">
        <v>244</v>
      </c>
      <c r="H14" s="2" t="s">
        <v>244</v>
      </c>
      <c r="I14" s="2" t="s">
        <v>244</v>
      </c>
      <c r="J14" s="2" t="s">
        <v>242</v>
      </c>
      <c r="K14" s="2" t="s">
        <v>242</v>
      </c>
      <c r="L14" s="2" t="s">
        <v>234</v>
      </c>
      <c r="AB14" t="s">
        <v>248</v>
      </c>
      <c r="AC14" t="s">
        <v>274</v>
      </c>
      <c r="AD14" t="s">
        <v>235</v>
      </c>
    </row>
    <row r="15" spans="1:30" x14ac:dyDescent="0.35">
      <c r="A15" t="s">
        <v>78</v>
      </c>
      <c r="B15" s="2" t="s">
        <v>237</v>
      </c>
      <c r="C15" s="2" t="s">
        <v>237</v>
      </c>
      <c r="D15" s="2" t="s">
        <v>237</v>
      </c>
      <c r="E15" s="2" t="s">
        <v>237</v>
      </c>
      <c r="F15" s="2" t="s">
        <v>237</v>
      </c>
      <c r="G15" s="2" t="s">
        <v>241</v>
      </c>
      <c r="H15" s="2" t="s">
        <v>242</v>
      </c>
      <c r="I15" s="2" t="s">
        <v>242</v>
      </c>
      <c r="J15" s="2" t="s">
        <v>245</v>
      </c>
      <c r="K15" s="2" t="s">
        <v>245</v>
      </c>
      <c r="L15" s="2" t="s">
        <v>245</v>
      </c>
      <c r="AB15" t="s">
        <v>247</v>
      </c>
      <c r="AC15" t="s">
        <v>248</v>
      </c>
      <c r="AD15" t="s">
        <v>248</v>
      </c>
    </row>
    <row r="16" spans="1:30" x14ac:dyDescent="0.35">
      <c r="A16" t="s">
        <v>249</v>
      </c>
      <c r="B16" s="2" t="s">
        <v>245</v>
      </c>
      <c r="C16" s="2" t="s">
        <v>245</v>
      </c>
      <c r="D16" s="2" t="s">
        <v>234</v>
      </c>
      <c r="E16" s="2" t="s">
        <v>234</v>
      </c>
      <c r="F16" s="2" t="s">
        <v>234</v>
      </c>
      <c r="G16" s="2" t="s">
        <v>234</v>
      </c>
      <c r="H16" s="2" t="s">
        <v>234</v>
      </c>
      <c r="I16" s="2" t="s">
        <v>234</v>
      </c>
      <c r="J16" s="2" t="s">
        <v>234</v>
      </c>
      <c r="K16" s="2" t="s">
        <v>234</v>
      </c>
      <c r="L16" s="2" t="s">
        <v>234</v>
      </c>
      <c r="AB16" t="s">
        <v>247</v>
      </c>
      <c r="AC16" t="s">
        <v>248</v>
      </c>
      <c r="AD16" t="s">
        <v>247</v>
      </c>
    </row>
    <row r="17" spans="1:30" x14ac:dyDescent="0.35">
      <c r="A17" t="s">
        <v>86</v>
      </c>
      <c r="B17" s="2" t="s">
        <v>242</v>
      </c>
      <c r="C17" s="2" t="s">
        <v>247</v>
      </c>
      <c r="D17" s="2" t="s">
        <v>244</v>
      </c>
      <c r="E17" s="2" t="s">
        <v>244</v>
      </c>
      <c r="F17" s="2" t="s">
        <v>237</v>
      </c>
      <c r="G17" s="2" t="s">
        <v>237</v>
      </c>
      <c r="H17" s="2" t="s">
        <v>237</v>
      </c>
      <c r="I17" s="2" t="s">
        <v>237</v>
      </c>
      <c r="J17" s="2" t="s">
        <v>237</v>
      </c>
      <c r="K17" s="2" t="s">
        <v>237</v>
      </c>
      <c r="L17" s="2" t="s">
        <v>237</v>
      </c>
      <c r="AB17" t="s">
        <v>275</v>
      </c>
      <c r="AC17" t="s">
        <v>276</v>
      </c>
      <c r="AD17" t="s">
        <v>13</v>
      </c>
    </row>
    <row r="18" spans="1:30" x14ac:dyDescent="0.35">
      <c r="A18" t="s">
        <v>89</v>
      </c>
      <c r="B18" s="2" t="s">
        <v>239</v>
      </c>
      <c r="C18" s="2" t="s">
        <v>239</v>
      </c>
      <c r="D18" s="2" t="s">
        <v>239</v>
      </c>
      <c r="E18" s="2" t="s">
        <v>239</v>
      </c>
      <c r="F18" s="2" t="s">
        <v>239</v>
      </c>
      <c r="G18" s="2" t="s">
        <v>239</v>
      </c>
      <c r="H18" s="2" t="s">
        <v>239</v>
      </c>
      <c r="I18" s="2" t="s">
        <v>239</v>
      </c>
      <c r="J18" s="2" t="s">
        <v>239</v>
      </c>
      <c r="K18" s="2" t="s">
        <v>239</v>
      </c>
      <c r="L18" s="2" t="s">
        <v>239</v>
      </c>
      <c r="AB18" t="s">
        <v>277</v>
      </c>
      <c r="AC18" t="s">
        <v>13</v>
      </c>
      <c r="AD18" t="s">
        <v>13</v>
      </c>
    </row>
    <row r="19" spans="1:30" x14ac:dyDescent="0.35">
      <c r="A19" t="s">
        <v>99</v>
      </c>
      <c r="B19" s="2" t="s">
        <v>245</v>
      </c>
      <c r="C19" s="2" t="s">
        <v>241</v>
      </c>
      <c r="D19" s="2" t="s">
        <v>244</v>
      </c>
      <c r="E19" s="2" t="s">
        <v>244</v>
      </c>
      <c r="F19" s="2" t="s">
        <v>244</v>
      </c>
      <c r="G19" s="2" t="s">
        <v>278</v>
      </c>
      <c r="H19" s="2" t="s">
        <v>246</v>
      </c>
      <c r="I19" s="2" t="s">
        <v>242</v>
      </c>
      <c r="J19" s="2" t="s">
        <v>241</v>
      </c>
      <c r="K19" s="2" t="s">
        <v>242</v>
      </c>
      <c r="L19" s="2" t="s">
        <v>236</v>
      </c>
    </row>
    <row r="20" spans="1:30" x14ac:dyDescent="0.35">
      <c r="A20" t="s">
        <v>107</v>
      </c>
      <c r="B20" s="2" t="s">
        <v>237</v>
      </c>
      <c r="C20" s="2" t="s">
        <v>237</v>
      </c>
      <c r="D20" s="2" t="s">
        <v>237</v>
      </c>
      <c r="E20" s="2" t="s">
        <v>237</v>
      </c>
      <c r="F20" s="2" t="s">
        <v>237</v>
      </c>
      <c r="G20" s="2" t="s">
        <v>237</v>
      </c>
      <c r="H20" s="2" t="s">
        <v>237</v>
      </c>
      <c r="I20" s="2" t="s">
        <v>234</v>
      </c>
      <c r="J20" s="2" t="s">
        <v>234</v>
      </c>
      <c r="K20" s="2" t="s">
        <v>234</v>
      </c>
      <c r="L20" s="2" t="s">
        <v>234</v>
      </c>
    </row>
    <row r="21" spans="1:30" x14ac:dyDescent="0.35">
      <c r="A21" t="s">
        <v>111</v>
      </c>
      <c r="B21" s="2" t="s">
        <v>245</v>
      </c>
      <c r="C21" s="2" t="s">
        <v>245</v>
      </c>
      <c r="D21" s="2" t="s">
        <v>245</v>
      </c>
      <c r="E21" s="2" t="s">
        <v>234</v>
      </c>
      <c r="F21" s="2" t="s">
        <v>234</v>
      </c>
      <c r="G21" s="2" t="s">
        <v>238</v>
      </c>
      <c r="H21" s="2" t="s">
        <v>238</v>
      </c>
      <c r="I21" s="2" t="s">
        <v>238</v>
      </c>
      <c r="J21" s="2" t="s">
        <v>238</v>
      </c>
      <c r="K21" s="2" t="s">
        <v>238</v>
      </c>
      <c r="L21" s="2" t="s">
        <v>238</v>
      </c>
    </row>
    <row r="22" spans="1:30" x14ac:dyDescent="0.35">
      <c r="A22" t="s">
        <v>114</v>
      </c>
      <c r="B22" s="2" t="s">
        <v>237</v>
      </c>
      <c r="C22" s="2" t="s">
        <v>237</v>
      </c>
      <c r="D22" s="2" t="s">
        <v>237</v>
      </c>
      <c r="E22" s="2" t="s">
        <v>234</v>
      </c>
      <c r="F22" s="2" t="s">
        <v>234</v>
      </c>
      <c r="G22" s="2" t="s">
        <v>245</v>
      </c>
      <c r="H22" s="2" t="s">
        <v>241</v>
      </c>
      <c r="I22" s="2" t="s">
        <v>245</v>
      </c>
      <c r="J22" s="2" t="s">
        <v>242</v>
      </c>
      <c r="K22" s="2" t="s">
        <v>248</v>
      </c>
      <c r="L22" s="2" t="s">
        <v>246</v>
      </c>
    </row>
    <row r="23" spans="1:30" x14ac:dyDescent="0.35">
      <c r="A23" t="s">
        <v>117</v>
      </c>
      <c r="B23" s="2" t="s">
        <v>237</v>
      </c>
      <c r="C23" s="2" t="s">
        <v>237</v>
      </c>
      <c r="D23" s="2" t="s">
        <v>237</v>
      </c>
      <c r="E23" s="2" t="s">
        <v>237</v>
      </c>
      <c r="F23" s="2" t="s">
        <v>237</v>
      </c>
      <c r="G23" s="2" t="s">
        <v>237</v>
      </c>
      <c r="H23" s="2" t="s">
        <v>237</v>
      </c>
      <c r="I23" s="2" t="s">
        <v>237</v>
      </c>
      <c r="J23" s="2" t="s">
        <v>237</v>
      </c>
      <c r="K23" s="2" t="s">
        <v>237</v>
      </c>
      <c r="L23" s="2" t="s">
        <v>245</v>
      </c>
    </row>
    <row r="24" spans="1:30" x14ac:dyDescent="0.35">
      <c r="A24" t="s">
        <v>120</v>
      </c>
      <c r="B24" s="2" t="s">
        <v>237</v>
      </c>
      <c r="C24" s="2" t="s">
        <v>239</v>
      </c>
      <c r="D24" s="2" t="s">
        <v>239</v>
      </c>
      <c r="E24" s="2" t="s">
        <v>239</v>
      </c>
      <c r="F24" s="2" t="s">
        <v>239</v>
      </c>
      <c r="G24" s="2" t="s">
        <v>239</v>
      </c>
      <c r="H24" s="2" t="s">
        <v>238</v>
      </c>
      <c r="I24" s="2" t="s">
        <v>238</v>
      </c>
      <c r="J24" s="2" t="s">
        <v>238</v>
      </c>
      <c r="K24" s="2" t="s">
        <v>238</v>
      </c>
      <c r="L24" s="2" t="s">
        <v>238</v>
      </c>
    </row>
    <row r="25" spans="1:30" x14ac:dyDescent="0.35">
      <c r="A25" t="s">
        <v>127</v>
      </c>
      <c r="B25" s="2" t="s">
        <v>237</v>
      </c>
      <c r="C25" s="2" t="s">
        <v>237</v>
      </c>
      <c r="D25" s="2" t="s">
        <v>237</v>
      </c>
      <c r="E25" s="2" t="s">
        <v>237</v>
      </c>
      <c r="F25" s="2" t="s">
        <v>237</v>
      </c>
      <c r="G25" s="2" t="s">
        <v>237</v>
      </c>
      <c r="H25" s="2" t="s">
        <v>237</v>
      </c>
      <c r="I25" s="2" t="s">
        <v>245</v>
      </c>
      <c r="J25" s="2" t="s">
        <v>245</v>
      </c>
      <c r="K25" s="2" t="s">
        <v>245</v>
      </c>
      <c r="L25" s="2" t="s">
        <v>245</v>
      </c>
    </row>
    <row r="26" spans="1:30" x14ac:dyDescent="0.35">
      <c r="A26" t="s">
        <v>250</v>
      </c>
      <c r="B26" s="2" t="s">
        <v>237</v>
      </c>
      <c r="C26" s="2" t="s">
        <v>234</v>
      </c>
      <c r="D26" s="2" t="s">
        <v>234</v>
      </c>
      <c r="E26" s="2" t="s">
        <v>234</v>
      </c>
      <c r="F26" s="2" t="s">
        <v>237</v>
      </c>
      <c r="G26" s="2" t="s">
        <v>237</v>
      </c>
      <c r="H26" s="2" t="s">
        <v>237</v>
      </c>
      <c r="I26" s="2" t="s">
        <v>237</v>
      </c>
      <c r="J26" s="2" t="s">
        <v>237</v>
      </c>
      <c r="K26" s="2" t="s">
        <v>237</v>
      </c>
      <c r="L26" s="2" t="s">
        <v>237</v>
      </c>
    </row>
    <row r="27" spans="1:30" x14ac:dyDescent="0.35">
      <c r="A27" t="s">
        <v>131</v>
      </c>
      <c r="B27" s="2" t="s">
        <v>241</v>
      </c>
      <c r="C27" s="2" t="s">
        <v>241</v>
      </c>
      <c r="D27" s="2" t="s">
        <v>242</v>
      </c>
      <c r="E27" s="2" t="s">
        <v>242</v>
      </c>
      <c r="F27" s="2" t="s">
        <v>241</v>
      </c>
      <c r="G27" s="2" t="s">
        <v>241</v>
      </c>
      <c r="H27" s="2" t="s">
        <v>245</v>
      </c>
      <c r="I27" s="2" t="s">
        <v>245</v>
      </c>
      <c r="J27" s="2" t="s">
        <v>245</v>
      </c>
      <c r="K27" s="2" t="s">
        <v>245</v>
      </c>
      <c r="L27" s="2" t="s">
        <v>234</v>
      </c>
    </row>
    <row r="28" spans="1:30" x14ac:dyDescent="0.35">
      <c r="A28" t="s">
        <v>145</v>
      </c>
      <c r="B28" s="2" t="s">
        <v>241</v>
      </c>
      <c r="C28" s="2" t="s">
        <v>241</v>
      </c>
      <c r="D28" s="2" t="s">
        <v>241</v>
      </c>
      <c r="E28" s="2" t="s">
        <v>245</v>
      </c>
      <c r="F28" s="2" t="s">
        <v>245</v>
      </c>
      <c r="G28" s="2" t="s">
        <v>245</v>
      </c>
      <c r="H28" s="2" t="s">
        <v>245</v>
      </c>
      <c r="I28" s="2" t="s">
        <v>245</v>
      </c>
      <c r="J28" s="2" t="s">
        <v>245</v>
      </c>
      <c r="K28" s="2" t="s">
        <v>245</v>
      </c>
      <c r="L28" s="2" t="s">
        <v>234</v>
      </c>
    </row>
    <row r="29" spans="1:30" x14ac:dyDescent="0.35">
      <c r="A29" t="s">
        <v>152</v>
      </c>
      <c r="B29" s="2" t="s">
        <v>237</v>
      </c>
      <c r="C29" s="2" t="s">
        <v>237</v>
      </c>
      <c r="D29" s="2" t="s">
        <v>237</v>
      </c>
      <c r="E29" s="2" t="s">
        <v>237</v>
      </c>
      <c r="F29" s="2" t="s">
        <v>237</v>
      </c>
      <c r="G29" s="2" t="s">
        <v>237</v>
      </c>
      <c r="H29" s="2" t="s">
        <v>237</v>
      </c>
      <c r="I29" s="2" t="s">
        <v>237</v>
      </c>
      <c r="J29" s="2" t="s">
        <v>237</v>
      </c>
      <c r="K29" s="2" t="s">
        <v>237</v>
      </c>
      <c r="L29" s="2" t="s">
        <v>245</v>
      </c>
    </row>
    <row r="30" spans="1:30" x14ac:dyDescent="0.35">
      <c r="A30" t="s">
        <v>154</v>
      </c>
      <c r="B30" s="2" t="s">
        <v>240</v>
      </c>
      <c r="C30" s="2" t="s">
        <v>240</v>
      </c>
      <c r="D30" s="2" t="s">
        <v>240</v>
      </c>
      <c r="E30" s="2" t="s">
        <v>240</v>
      </c>
      <c r="F30" s="2" t="s">
        <v>240</v>
      </c>
      <c r="G30" s="2" t="s">
        <v>237</v>
      </c>
      <c r="H30" s="2" t="s">
        <v>237</v>
      </c>
      <c r="I30" s="2" t="s">
        <v>234</v>
      </c>
      <c r="J30" s="2" t="s">
        <v>234</v>
      </c>
      <c r="K30" s="2" t="s">
        <v>234</v>
      </c>
      <c r="L30" s="2" t="s">
        <v>234</v>
      </c>
    </row>
    <row r="31" spans="1:30" x14ac:dyDescent="0.35">
      <c r="A31" t="s">
        <v>158</v>
      </c>
      <c r="B31" s="2" t="s">
        <v>240</v>
      </c>
      <c r="C31" s="2" t="s">
        <v>240</v>
      </c>
      <c r="D31" s="2" t="s">
        <v>239</v>
      </c>
      <c r="E31" s="2" t="s">
        <v>238</v>
      </c>
      <c r="F31" s="2" t="s">
        <v>234</v>
      </c>
      <c r="G31" s="2" t="s">
        <v>247</v>
      </c>
      <c r="H31" s="2" t="s">
        <v>247</v>
      </c>
      <c r="I31" s="2" t="s">
        <v>247</v>
      </c>
      <c r="J31" s="2" t="s">
        <v>244</v>
      </c>
      <c r="K31" s="2" t="s">
        <v>236</v>
      </c>
      <c r="L31" s="2" t="s">
        <v>236</v>
      </c>
    </row>
    <row r="32" spans="1:30" x14ac:dyDescent="0.35">
      <c r="A32" t="s">
        <v>162</v>
      </c>
      <c r="B32" s="2" t="s">
        <v>240</v>
      </c>
      <c r="C32" s="2" t="s">
        <v>240</v>
      </c>
      <c r="D32" s="2" t="s">
        <v>240</v>
      </c>
      <c r="E32" s="2" t="s">
        <v>240</v>
      </c>
      <c r="F32" s="2" t="s">
        <v>239</v>
      </c>
      <c r="G32" s="2" t="s">
        <v>234</v>
      </c>
      <c r="H32" s="2" t="s">
        <v>234</v>
      </c>
      <c r="I32" s="2" t="s">
        <v>245</v>
      </c>
      <c r="J32" s="2" t="s">
        <v>245</v>
      </c>
      <c r="K32" s="2" t="s">
        <v>245</v>
      </c>
      <c r="L32" s="2" t="s">
        <v>245</v>
      </c>
    </row>
    <row r="33" spans="1:12" x14ac:dyDescent="0.35">
      <c r="A33" t="s">
        <v>187</v>
      </c>
      <c r="B33" s="2" t="s">
        <v>237</v>
      </c>
      <c r="C33" s="2" t="s">
        <v>237</v>
      </c>
      <c r="D33" s="2" t="s">
        <v>237</v>
      </c>
      <c r="E33" s="2" t="s">
        <v>237</v>
      </c>
      <c r="F33" s="2" t="s">
        <v>237</v>
      </c>
      <c r="G33" s="2" t="s">
        <v>237</v>
      </c>
      <c r="H33" s="2" t="s">
        <v>237</v>
      </c>
      <c r="I33" s="2" t="s">
        <v>237</v>
      </c>
      <c r="J33" s="2" t="s">
        <v>237</v>
      </c>
      <c r="K33" s="2" t="s">
        <v>237</v>
      </c>
      <c r="L33" s="2" t="s">
        <v>237</v>
      </c>
    </row>
    <row r="34" spans="1:12" x14ac:dyDescent="0.35">
      <c r="A34" t="s">
        <v>190</v>
      </c>
      <c r="B34" s="2" t="s">
        <v>238</v>
      </c>
      <c r="C34" s="2" t="s">
        <v>240</v>
      </c>
      <c r="D34" s="2" t="s">
        <v>240</v>
      </c>
      <c r="E34" s="2" t="s">
        <v>240</v>
      </c>
      <c r="F34" s="2" t="s">
        <v>240</v>
      </c>
      <c r="G34" s="2" t="s">
        <v>240</v>
      </c>
      <c r="H34" s="2" t="s">
        <v>240</v>
      </c>
      <c r="I34" s="2" t="s">
        <v>240</v>
      </c>
      <c r="J34" s="2" t="s">
        <v>240</v>
      </c>
      <c r="K34" s="2" t="s">
        <v>240</v>
      </c>
      <c r="L34" s="2" t="s">
        <v>240</v>
      </c>
    </row>
    <row r="35" spans="1:12" x14ac:dyDescent="0.35">
      <c r="A35" t="s">
        <v>192</v>
      </c>
      <c r="B35" s="2" t="s">
        <v>237</v>
      </c>
      <c r="C35" s="2" t="s">
        <v>237</v>
      </c>
      <c r="D35" s="2" t="s">
        <v>237</v>
      </c>
      <c r="E35" s="2" t="s">
        <v>237</v>
      </c>
      <c r="F35" s="2" t="s">
        <v>238</v>
      </c>
      <c r="G35" s="2" t="s">
        <v>238</v>
      </c>
      <c r="H35" s="2" t="s">
        <v>238</v>
      </c>
      <c r="I35" s="2" t="s">
        <v>239</v>
      </c>
      <c r="J35" s="2" t="s">
        <v>239</v>
      </c>
      <c r="K35" s="2" t="s">
        <v>239</v>
      </c>
      <c r="L35" s="2" t="s">
        <v>239</v>
      </c>
    </row>
    <row r="36" spans="1:12" x14ac:dyDescent="0.35">
      <c r="A36" t="s">
        <v>196</v>
      </c>
      <c r="B36" s="2" t="s">
        <v>245</v>
      </c>
      <c r="C36" s="2" t="s">
        <v>245</v>
      </c>
      <c r="D36" s="2" t="s">
        <v>245</v>
      </c>
      <c r="E36" s="2" t="s">
        <v>245</v>
      </c>
      <c r="F36" s="2" t="s">
        <v>245</v>
      </c>
      <c r="G36" s="2" t="s">
        <v>245</v>
      </c>
      <c r="H36" s="2" t="s">
        <v>245</v>
      </c>
      <c r="I36" s="2" t="s">
        <v>234</v>
      </c>
      <c r="J36" s="2" t="s">
        <v>238</v>
      </c>
      <c r="K36" s="2" t="s">
        <v>238</v>
      </c>
      <c r="L36" s="2" t="s">
        <v>238</v>
      </c>
    </row>
    <row r="37" spans="1:12" x14ac:dyDescent="0.35">
      <c r="A37" t="s">
        <v>199</v>
      </c>
      <c r="B37" s="2" t="s">
        <v>245</v>
      </c>
      <c r="C37" s="2" t="s">
        <v>234</v>
      </c>
      <c r="D37" s="2" t="s">
        <v>234</v>
      </c>
      <c r="E37" s="2" t="s">
        <v>234</v>
      </c>
      <c r="F37" s="2" t="s">
        <v>234</v>
      </c>
      <c r="G37" s="2" t="s">
        <v>234</v>
      </c>
      <c r="H37" s="2" t="s">
        <v>234</v>
      </c>
      <c r="I37" s="2" t="s">
        <v>234</v>
      </c>
      <c r="J37" s="2" t="s">
        <v>234</v>
      </c>
      <c r="K37" s="2" t="s">
        <v>245</v>
      </c>
      <c r="L37" s="2" t="s">
        <v>245</v>
      </c>
    </row>
    <row r="38" spans="1:12" x14ac:dyDescent="0.35">
      <c r="A38" t="s">
        <v>205</v>
      </c>
      <c r="B38" s="2" t="s">
        <v>234</v>
      </c>
      <c r="C38" s="2" t="s">
        <v>234</v>
      </c>
      <c r="D38" s="2" t="s">
        <v>245</v>
      </c>
      <c r="E38" s="2" t="s">
        <v>245</v>
      </c>
      <c r="F38" s="2" t="s">
        <v>234</v>
      </c>
      <c r="G38" s="2" t="s">
        <v>238</v>
      </c>
      <c r="H38" s="2" t="s">
        <v>238</v>
      </c>
      <c r="I38" s="2" t="s">
        <v>239</v>
      </c>
      <c r="J38" s="2" t="s">
        <v>239</v>
      </c>
      <c r="K38" s="2" t="s">
        <v>239</v>
      </c>
      <c r="L38" s="2" t="s">
        <v>239</v>
      </c>
    </row>
    <row r="39" spans="1:12" x14ac:dyDescent="0.35">
      <c r="A39" t="s">
        <v>213</v>
      </c>
      <c r="B39" s="2" t="s">
        <v>239</v>
      </c>
      <c r="C39" s="2" t="s">
        <v>239</v>
      </c>
      <c r="D39" s="2" t="s">
        <v>240</v>
      </c>
      <c r="E39" s="2" t="s">
        <v>240</v>
      </c>
      <c r="F39" s="2" t="s">
        <v>240</v>
      </c>
      <c r="G39" s="2" t="s">
        <v>238</v>
      </c>
      <c r="H39" s="2" t="s">
        <v>238</v>
      </c>
      <c r="I39" s="2" t="s">
        <v>238</v>
      </c>
      <c r="J39" s="2" t="s">
        <v>238</v>
      </c>
      <c r="K39" s="2" t="s">
        <v>238</v>
      </c>
      <c r="L39" s="2" t="s">
        <v>238</v>
      </c>
    </row>
    <row r="40" spans="1:12" x14ac:dyDescent="0.35">
      <c r="A40" t="s">
        <v>217</v>
      </c>
      <c r="B40" s="2" t="s">
        <v>239</v>
      </c>
      <c r="C40" s="2" t="s">
        <v>238</v>
      </c>
      <c r="D40" s="2" t="s">
        <v>238</v>
      </c>
      <c r="E40" s="2" t="s">
        <v>238</v>
      </c>
      <c r="F40" s="2" t="s">
        <v>234</v>
      </c>
      <c r="G40" s="2" t="s">
        <v>248</v>
      </c>
      <c r="H40" s="2" t="s">
        <v>246</v>
      </c>
      <c r="I40" s="2" t="s">
        <v>241</v>
      </c>
      <c r="J40" s="2" t="s">
        <v>245</v>
      </c>
      <c r="K40" s="2" t="s">
        <v>245</v>
      </c>
      <c r="L40" s="2" t="s">
        <v>234</v>
      </c>
    </row>
    <row r="41" spans="1:12" x14ac:dyDescent="0.35">
      <c r="A41" t="s">
        <v>220</v>
      </c>
      <c r="B41" s="2" t="s">
        <v>243</v>
      </c>
      <c r="C41" s="2" t="s">
        <v>243</v>
      </c>
      <c r="D41" s="2" t="s">
        <v>243</v>
      </c>
      <c r="E41" s="2" t="s">
        <v>243</v>
      </c>
      <c r="F41" s="2" t="s">
        <v>243</v>
      </c>
      <c r="G41" s="2" t="s">
        <v>240</v>
      </c>
      <c r="H41" s="2" t="s">
        <v>240</v>
      </c>
      <c r="I41" s="2" t="s">
        <v>243</v>
      </c>
      <c r="J41" s="2" t="s">
        <v>239</v>
      </c>
      <c r="K41" s="2" t="s">
        <v>240</v>
      </c>
      <c r="L41" s="2" t="s">
        <v>240</v>
      </c>
    </row>
    <row r="42" spans="1:12" x14ac:dyDescent="0.35">
      <c r="A42" t="s">
        <v>228</v>
      </c>
      <c r="B42" s="2" t="s">
        <v>239</v>
      </c>
      <c r="C42" s="2" t="s">
        <v>240</v>
      </c>
      <c r="D42" s="2" t="s">
        <v>240</v>
      </c>
      <c r="E42" s="2" t="s">
        <v>240</v>
      </c>
      <c r="F42" s="2" t="s">
        <v>240</v>
      </c>
      <c r="G42" s="2" t="s">
        <v>239</v>
      </c>
      <c r="H42" s="2" t="s">
        <v>239</v>
      </c>
      <c r="I42" s="2" t="s">
        <v>239</v>
      </c>
      <c r="J42" s="2" t="s">
        <v>239</v>
      </c>
      <c r="K42" s="2" t="s">
        <v>239</v>
      </c>
      <c r="L42" s="2" t="s">
        <v>239</v>
      </c>
    </row>
  </sheetData>
  <autoFilter ref="A1:L42" xr:uid="{FB82CBED-D125-403F-9A99-3CB5A5F975D7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A95F5-956D-47B9-8CD2-FD268071D8B1}">
  <dimension ref="A1:F2758"/>
  <sheetViews>
    <sheetView workbookViewId="0">
      <selection activeCell="C1" sqref="C1"/>
    </sheetView>
  </sheetViews>
  <sheetFormatPr defaultRowHeight="14.5" x14ac:dyDescent="0.35"/>
  <cols>
    <col min="1" max="1" width="10.453125" bestFit="1" customWidth="1"/>
    <col min="2" max="2" width="10.453125" customWidth="1"/>
    <col min="3" max="3" width="9.36328125" bestFit="1" customWidth="1"/>
    <col min="4" max="4" width="11.7265625" bestFit="1" customWidth="1"/>
    <col min="5" max="6" width="10.453125" bestFit="1" customWidth="1"/>
  </cols>
  <sheetData>
    <row r="1" spans="1:6" x14ac:dyDescent="0.35">
      <c r="A1" t="s">
        <v>279</v>
      </c>
      <c r="B1" t="s">
        <v>282</v>
      </c>
      <c r="C1" t="s">
        <v>6</v>
      </c>
    </row>
    <row r="2" spans="1:6" x14ac:dyDescent="0.35">
      <c r="A2" s="12">
        <v>44561</v>
      </c>
      <c r="B2" s="12">
        <f>DATE(YEAR(A2),MONTH(A2),DAY(1))</f>
        <v>44531</v>
      </c>
      <c r="C2">
        <v>5.5799000000000003</v>
      </c>
      <c r="E2" s="1"/>
      <c r="F2" s="12"/>
    </row>
    <row r="3" spans="1:6" x14ac:dyDescent="0.35">
      <c r="A3" s="12">
        <v>44560</v>
      </c>
      <c r="B3" s="12">
        <f t="shared" ref="B3:B66" si="0">DATE(YEAR(A3),MONTH(A3),DAY(1))</f>
        <v>44531</v>
      </c>
      <c r="C3">
        <v>5.5799000000000003</v>
      </c>
      <c r="E3" s="1"/>
      <c r="F3" s="12"/>
    </row>
    <row r="4" spans="1:6" x14ac:dyDescent="0.35">
      <c r="A4" s="12">
        <v>44559</v>
      </c>
      <c r="B4" s="12">
        <f t="shared" si="0"/>
        <v>44531</v>
      </c>
      <c r="C4">
        <v>5.6612999999999998</v>
      </c>
      <c r="E4" s="1"/>
      <c r="F4" s="12"/>
    </row>
    <row r="5" spans="1:6" x14ac:dyDescent="0.35">
      <c r="A5" s="12">
        <v>44558</v>
      </c>
      <c r="B5" s="12">
        <f t="shared" si="0"/>
        <v>44531</v>
      </c>
      <c r="C5">
        <v>5.6432000000000002</v>
      </c>
      <c r="E5" s="1"/>
      <c r="F5" s="12"/>
    </row>
    <row r="6" spans="1:6" x14ac:dyDescent="0.35">
      <c r="A6" s="12">
        <v>44557</v>
      </c>
      <c r="B6" s="12">
        <f t="shared" si="0"/>
        <v>44531</v>
      </c>
      <c r="C6">
        <v>5.6643999999999997</v>
      </c>
      <c r="E6" s="1"/>
      <c r="F6" s="12"/>
    </row>
    <row r="7" spans="1:6" x14ac:dyDescent="0.35">
      <c r="A7" s="12">
        <v>44554</v>
      </c>
      <c r="B7" s="12">
        <f t="shared" si="0"/>
        <v>44531</v>
      </c>
      <c r="C7">
        <v>5.6540999999999997</v>
      </c>
      <c r="E7" s="1"/>
      <c r="F7" s="12"/>
    </row>
    <row r="8" spans="1:6" x14ac:dyDescent="0.35">
      <c r="A8" s="12">
        <v>44553</v>
      </c>
      <c r="B8" s="12">
        <f t="shared" si="0"/>
        <v>44531</v>
      </c>
      <c r="C8">
        <v>5.6904000000000003</v>
      </c>
      <c r="E8" s="1"/>
      <c r="F8" s="12"/>
    </row>
    <row r="9" spans="1:6" x14ac:dyDescent="0.35">
      <c r="A9" s="12">
        <v>44552</v>
      </c>
      <c r="B9" s="12">
        <f t="shared" si="0"/>
        <v>44531</v>
      </c>
      <c r="C9">
        <v>5.7195</v>
      </c>
      <c r="E9" s="1"/>
      <c r="F9" s="12"/>
    </row>
    <row r="10" spans="1:6" x14ac:dyDescent="0.35">
      <c r="A10" s="12">
        <v>44551</v>
      </c>
      <c r="B10" s="12">
        <f t="shared" si="0"/>
        <v>44531</v>
      </c>
      <c r="C10">
        <v>5.7366999999999999</v>
      </c>
      <c r="E10" s="1"/>
      <c r="F10" s="12"/>
    </row>
    <row r="11" spans="1:6" x14ac:dyDescent="0.35">
      <c r="A11" s="12">
        <v>44550</v>
      </c>
      <c r="B11" s="12">
        <f t="shared" si="0"/>
        <v>44531</v>
      </c>
      <c r="C11">
        <v>5.7049000000000003</v>
      </c>
      <c r="E11" s="1"/>
      <c r="F11" s="12"/>
    </row>
    <row r="12" spans="1:6" x14ac:dyDescent="0.35">
      <c r="A12" s="12">
        <v>44547</v>
      </c>
      <c r="B12" s="12">
        <f t="shared" si="0"/>
        <v>44531</v>
      </c>
      <c r="C12">
        <v>5.6952999999999996</v>
      </c>
      <c r="E12" s="1"/>
      <c r="F12" s="12"/>
    </row>
    <row r="13" spans="1:6" x14ac:dyDescent="0.35">
      <c r="A13" s="12">
        <v>44546</v>
      </c>
      <c r="B13" s="12">
        <f t="shared" si="0"/>
        <v>44531</v>
      </c>
      <c r="C13">
        <v>5.6957000000000004</v>
      </c>
      <c r="E13" s="1"/>
      <c r="F13" s="12"/>
    </row>
    <row r="14" spans="1:6" x14ac:dyDescent="0.35">
      <c r="A14" s="12">
        <v>44545</v>
      </c>
      <c r="B14" s="12">
        <f t="shared" si="0"/>
        <v>44531</v>
      </c>
      <c r="C14">
        <v>5.7121000000000004</v>
      </c>
      <c r="E14" s="1"/>
      <c r="F14" s="12"/>
    </row>
    <row r="15" spans="1:6" x14ac:dyDescent="0.35">
      <c r="A15" s="12">
        <v>44544</v>
      </c>
      <c r="B15" s="12">
        <f t="shared" si="0"/>
        <v>44531</v>
      </c>
      <c r="C15">
        <v>5.6455000000000002</v>
      </c>
      <c r="E15" s="1"/>
      <c r="F15" s="12"/>
    </row>
    <row r="16" spans="1:6" x14ac:dyDescent="0.35">
      <c r="A16" s="12">
        <v>44543</v>
      </c>
      <c r="B16" s="12">
        <f t="shared" si="0"/>
        <v>44531</v>
      </c>
      <c r="C16">
        <v>5.6351000000000004</v>
      </c>
      <c r="E16" s="1"/>
      <c r="F16" s="12"/>
    </row>
    <row r="17" spans="1:6" x14ac:dyDescent="0.35">
      <c r="A17" s="12">
        <v>44540</v>
      </c>
      <c r="B17" s="12">
        <f t="shared" si="0"/>
        <v>44531</v>
      </c>
      <c r="C17">
        <v>5.5925000000000002</v>
      </c>
      <c r="E17" s="1"/>
      <c r="F17" s="12"/>
    </row>
    <row r="18" spans="1:6" x14ac:dyDescent="0.35">
      <c r="A18" s="12">
        <v>44539</v>
      </c>
      <c r="B18" s="12">
        <f t="shared" si="0"/>
        <v>44531</v>
      </c>
      <c r="C18">
        <v>5.5557999999999996</v>
      </c>
      <c r="E18" s="1"/>
      <c r="F18" s="12"/>
    </row>
    <row r="19" spans="1:6" x14ac:dyDescent="0.35">
      <c r="A19" s="12">
        <v>44538</v>
      </c>
      <c r="B19" s="12">
        <f t="shared" si="0"/>
        <v>44531</v>
      </c>
      <c r="C19">
        <v>5.5773000000000001</v>
      </c>
      <c r="E19" s="1"/>
      <c r="F19" s="12"/>
    </row>
    <row r="20" spans="1:6" x14ac:dyDescent="0.35">
      <c r="A20" s="12">
        <v>44537</v>
      </c>
      <c r="B20" s="12">
        <f t="shared" si="0"/>
        <v>44531</v>
      </c>
      <c r="C20">
        <v>5.6405000000000003</v>
      </c>
      <c r="E20" s="1"/>
      <c r="F20" s="12"/>
    </row>
    <row r="21" spans="1:6" x14ac:dyDescent="0.35">
      <c r="A21" s="12">
        <v>44536</v>
      </c>
      <c r="B21" s="12">
        <f t="shared" si="0"/>
        <v>44531</v>
      </c>
      <c r="C21">
        <v>5.6871</v>
      </c>
      <c r="E21" s="1"/>
      <c r="F21" s="12"/>
    </row>
    <row r="22" spans="1:6" x14ac:dyDescent="0.35">
      <c r="A22" s="12">
        <v>44533</v>
      </c>
      <c r="B22" s="12">
        <f t="shared" si="0"/>
        <v>44531</v>
      </c>
      <c r="C22">
        <v>5.6425999999999998</v>
      </c>
      <c r="E22" s="1"/>
      <c r="F22" s="12"/>
    </row>
    <row r="23" spans="1:6" x14ac:dyDescent="0.35">
      <c r="A23" s="12">
        <v>44532</v>
      </c>
      <c r="B23" s="12">
        <f t="shared" si="0"/>
        <v>44531</v>
      </c>
      <c r="C23">
        <v>5.6338999999999997</v>
      </c>
      <c r="E23" s="1"/>
      <c r="F23" s="12"/>
    </row>
    <row r="24" spans="1:6" x14ac:dyDescent="0.35">
      <c r="A24" s="12">
        <v>44531</v>
      </c>
      <c r="B24" s="12">
        <f t="shared" si="0"/>
        <v>44531</v>
      </c>
      <c r="C24">
        <v>5.6162000000000001</v>
      </c>
      <c r="E24" s="1"/>
      <c r="F24" s="12"/>
    </row>
    <row r="25" spans="1:6" x14ac:dyDescent="0.35">
      <c r="A25" s="12">
        <v>44530</v>
      </c>
      <c r="B25" s="12">
        <f t="shared" si="0"/>
        <v>44501</v>
      </c>
      <c r="C25">
        <v>5.6193</v>
      </c>
      <c r="E25" s="1"/>
      <c r="F25" s="12"/>
    </row>
    <row r="26" spans="1:6" x14ac:dyDescent="0.35">
      <c r="A26" s="12">
        <v>44529</v>
      </c>
      <c r="B26" s="12">
        <f t="shared" si="0"/>
        <v>44501</v>
      </c>
      <c r="C26">
        <v>5.6112000000000002</v>
      </c>
      <c r="E26" s="1"/>
      <c r="F26" s="12"/>
    </row>
    <row r="27" spans="1:6" x14ac:dyDescent="0.35">
      <c r="A27" s="12">
        <v>44526</v>
      </c>
      <c r="B27" s="12">
        <f t="shared" si="0"/>
        <v>44501</v>
      </c>
      <c r="C27">
        <v>5.5858999999999996</v>
      </c>
      <c r="E27" s="1"/>
      <c r="F27" s="12"/>
    </row>
    <row r="28" spans="1:6" x14ac:dyDescent="0.35">
      <c r="A28" s="12">
        <v>44525</v>
      </c>
      <c r="B28" s="12">
        <f t="shared" si="0"/>
        <v>44501</v>
      </c>
      <c r="C28">
        <v>5.5734000000000004</v>
      </c>
      <c r="E28" s="1"/>
      <c r="F28" s="12"/>
    </row>
    <row r="29" spans="1:6" x14ac:dyDescent="0.35">
      <c r="A29" s="12">
        <v>44524</v>
      </c>
      <c r="B29" s="12">
        <f t="shared" si="0"/>
        <v>44501</v>
      </c>
      <c r="C29">
        <v>5.6021000000000001</v>
      </c>
      <c r="E29" s="1"/>
      <c r="F29" s="12"/>
    </row>
    <row r="30" spans="1:6" x14ac:dyDescent="0.35">
      <c r="A30" s="12">
        <v>44523</v>
      </c>
      <c r="B30" s="12">
        <f t="shared" si="0"/>
        <v>44501</v>
      </c>
      <c r="C30">
        <v>5.6449999999999996</v>
      </c>
      <c r="E30" s="1"/>
      <c r="F30" s="12"/>
    </row>
    <row r="31" spans="1:6" x14ac:dyDescent="0.35">
      <c r="A31" s="12">
        <v>44522</v>
      </c>
      <c r="B31" s="12">
        <f t="shared" si="0"/>
        <v>44501</v>
      </c>
      <c r="C31">
        <v>5.5834999999999999</v>
      </c>
      <c r="E31" s="1"/>
      <c r="F31" s="12"/>
    </row>
    <row r="32" spans="1:6" x14ac:dyDescent="0.35">
      <c r="A32" s="12">
        <v>44519</v>
      </c>
      <c r="B32" s="12">
        <f t="shared" si="0"/>
        <v>44501</v>
      </c>
      <c r="C32">
        <v>5.5578000000000003</v>
      </c>
      <c r="E32" s="1"/>
      <c r="F32" s="12"/>
    </row>
    <row r="33" spans="1:6" x14ac:dyDescent="0.35">
      <c r="A33" s="12">
        <v>44518</v>
      </c>
      <c r="B33" s="12">
        <f t="shared" si="0"/>
        <v>44501</v>
      </c>
      <c r="C33">
        <v>5.5464000000000002</v>
      </c>
      <c r="E33" s="1"/>
      <c r="F33" s="12"/>
    </row>
    <row r="34" spans="1:6" x14ac:dyDescent="0.35">
      <c r="A34" s="12">
        <v>44517</v>
      </c>
      <c r="B34" s="12">
        <f t="shared" si="0"/>
        <v>44501</v>
      </c>
      <c r="C34">
        <v>5.4987000000000004</v>
      </c>
      <c r="E34" s="1"/>
      <c r="F34" s="12"/>
    </row>
    <row r="35" spans="1:6" x14ac:dyDescent="0.35">
      <c r="A35" s="12">
        <v>44516</v>
      </c>
      <c r="B35" s="12">
        <f t="shared" si="0"/>
        <v>44501</v>
      </c>
      <c r="C35">
        <v>5.4766000000000004</v>
      </c>
      <c r="E35" s="1"/>
      <c r="F35" s="12"/>
    </row>
    <row r="36" spans="1:6" x14ac:dyDescent="0.35">
      <c r="A36" s="12">
        <v>44512</v>
      </c>
      <c r="B36" s="12">
        <f t="shared" si="0"/>
        <v>44501</v>
      </c>
      <c r="C36">
        <v>5.4192999999999998</v>
      </c>
      <c r="E36" s="1"/>
      <c r="F36" s="12"/>
    </row>
    <row r="37" spans="1:6" x14ac:dyDescent="0.35">
      <c r="A37" s="12">
        <v>44511</v>
      </c>
      <c r="B37" s="12">
        <f t="shared" si="0"/>
        <v>44501</v>
      </c>
      <c r="C37">
        <v>5.4165000000000001</v>
      </c>
      <c r="E37" s="1"/>
      <c r="F37" s="12"/>
    </row>
    <row r="38" spans="1:6" x14ac:dyDescent="0.35">
      <c r="A38" s="12">
        <v>44510</v>
      </c>
      <c r="B38" s="12">
        <f t="shared" si="0"/>
        <v>44501</v>
      </c>
      <c r="C38">
        <v>5.4584000000000001</v>
      </c>
      <c r="E38" s="1"/>
      <c r="F38" s="12"/>
    </row>
    <row r="39" spans="1:6" x14ac:dyDescent="0.35">
      <c r="A39" s="12">
        <v>44509</v>
      </c>
      <c r="B39" s="12">
        <f t="shared" si="0"/>
        <v>44501</v>
      </c>
      <c r="C39">
        <v>5.4950999999999999</v>
      </c>
      <c r="E39" s="1"/>
      <c r="F39" s="12"/>
    </row>
    <row r="40" spans="1:6" x14ac:dyDescent="0.35">
      <c r="A40" s="12">
        <v>44508</v>
      </c>
      <c r="B40" s="12">
        <f t="shared" si="0"/>
        <v>44501</v>
      </c>
      <c r="C40">
        <v>5.5621</v>
      </c>
      <c r="E40" s="1"/>
      <c r="F40" s="12"/>
    </row>
    <row r="41" spans="1:6" x14ac:dyDescent="0.35">
      <c r="A41" s="12">
        <v>44505</v>
      </c>
      <c r="B41" s="12">
        <f t="shared" si="0"/>
        <v>44501</v>
      </c>
      <c r="C41">
        <v>5.5449000000000002</v>
      </c>
      <c r="E41" s="1"/>
      <c r="F41" s="12"/>
    </row>
    <row r="42" spans="1:6" x14ac:dyDescent="0.35">
      <c r="A42" s="12">
        <v>44504</v>
      </c>
      <c r="B42" s="12">
        <f t="shared" si="0"/>
        <v>44501</v>
      </c>
      <c r="C42">
        <v>5.5936000000000003</v>
      </c>
      <c r="E42" s="1"/>
      <c r="F42" s="12"/>
    </row>
    <row r="43" spans="1:6" x14ac:dyDescent="0.35">
      <c r="A43" s="12">
        <v>44503</v>
      </c>
      <c r="B43" s="12">
        <f t="shared" si="0"/>
        <v>44501</v>
      </c>
      <c r="C43">
        <v>5.6665999999999999</v>
      </c>
      <c r="E43" s="1"/>
      <c r="F43" s="12"/>
    </row>
    <row r="44" spans="1:6" x14ac:dyDescent="0.35">
      <c r="A44" s="12">
        <v>44501</v>
      </c>
      <c r="B44" s="12">
        <f t="shared" si="0"/>
        <v>44501</v>
      </c>
      <c r="C44">
        <v>5.6688000000000001</v>
      </c>
      <c r="E44" s="1"/>
      <c r="F44" s="12"/>
    </row>
    <row r="45" spans="1:6" x14ac:dyDescent="0.35">
      <c r="A45" s="12">
        <v>44498</v>
      </c>
      <c r="B45" s="12">
        <f t="shared" si="0"/>
        <v>44470</v>
      </c>
      <c r="C45">
        <v>5.6424000000000003</v>
      </c>
      <c r="E45" s="1"/>
      <c r="F45" s="12"/>
    </row>
    <row r="46" spans="1:6" x14ac:dyDescent="0.35">
      <c r="A46" s="12">
        <v>44497</v>
      </c>
      <c r="B46" s="12">
        <f t="shared" si="0"/>
        <v>44470</v>
      </c>
      <c r="C46">
        <v>5.6117999999999997</v>
      </c>
      <c r="E46" s="1"/>
      <c r="F46" s="12"/>
    </row>
    <row r="47" spans="1:6" x14ac:dyDescent="0.35">
      <c r="A47" s="12">
        <v>44496</v>
      </c>
      <c r="B47" s="12">
        <f t="shared" si="0"/>
        <v>44470</v>
      </c>
      <c r="C47">
        <v>5.5660999999999996</v>
      </c>
      <c r="E47" s="1"/>
      <c r="F47" s="12"/>
    </row>
    <row r="48" spans="1:6" x14ac:dyDescent="0.35">
      <c r="A48" s="12">
        <v>44495</v>
      </c>
      <c r="B48" s="12">
        <f t="shared" si="0"/>
        <v>44470</v>
      </c>
      <c r="C48">
        <v>5.5793999999999997</v>
      </c>
      <c r="E48" s="1"/>
      <c r="F48" s="12"/>
    </row>
    <row r="49" spans="1:6" x14ac:dyDescent="0.35">
      <c r="A49" s="12">
        <v>44494</v>
      </c>
      <c r="B49" s="12">
        <f t="shared" si="0"/>
        <v>44470</v>
      </c>
      <c r="C49">
        <v>5.5967000000000002</v>
      </c>
      <c r="E49" s="1"/>
      <c r="F49" s="12"/>
    </row>
    <row r="50" spans="1:6" x14ac:dyDescent="0.35">
      <c r="A50" s="12">
        <v>44491</v>
      </c>
      <c r="B50" s="12">
        <f t="shared" si="0"/>
        <v>44470</v>
      </c>
      <c r="C50">
        <v>5.7111000000000001</v>
      </c>
      <c r="E50" s="1"/>
      <c r="F50" s="12"/>
    </row>
    <row r="51" spans="1:6" x14ac:dyDescent="0.35">
      <c r="A51" s="12">
        <v>44490</v>
      </c>
      <c r="B51" s="12">
        <f t="shared" si="0"/>
        <v>44470</v>
      </c>
      <c r="C51">
        <v>5.6417000000000002</v>
      </c>
      <c r="E51" s="1"/>
      <c r="F51" s="12"/>
    </row>
    <row r="52" spans="1:6" x14ac:dyDescent="0.35">
      <c r="A52" s="12">
        <v>44489</v>
      </c>
      <c r="B52" s="12">
        <f t="shared" si="0"/>
        <v>44470</v>
      </c>
      <c r="C52">
        <v>5.5564999999999998</v>
      </c>
      <c r="E52" s="1"/>
      <c r="F52" s="12"/>
    </row>
    <row r="53" spans="1:6" x14ac:dyDescent="0.35">
      <c r="A53" s="12">
        <v>44488</v>
      </c>
      <c r="B53" s="12">
        <f t="shared" si="0"/>
        <v>44470</v>
      </c>
      <c r="C53">
        <v>5.5514999999999999</v>
      </c>
      <c r="E53" s="1"/>
      <c r="F53" s="12"/>
    </row>
    <row r="54" spans="1:6" x14ac:dyDescent="0.35">
      <c r="A54" s="12">
        <v>44487</v>
      </c>
      <c r="B54" s="12">
        <f t="shared" si="0"/>
        <v>44470</v>
      </c>
      <c r="C54">
        <v>5.5186999999999999</v>
      </c>
      <c r="E54" s="1"/>
      <c r="F54" s="12"/>
    </row>
    <row r="55" spans="1:6" x14ac:dyDescent="0.35">
      <c r="A55" s="12">
        <v>44484</v>
      </c>
      <c r="B55" s="12">
        <f t="shared" si="0"/>
        <v>44470</v>
      </c>
      <c r="C55">
        <v>5.4504000000000001</v>
      </c>
      <c r="E55" s="1"/>
      <c r="F55" s="12"/>
    </row>
    <row r="56" spans="1:6" x14ac:dyDescent="0.35">
      <c r="A56" s="12">
        <v>44483</v>
      </c>
      <c r="B56" s="12">
        <f t="shared" si="0"/>
        <v>44470</v>
      </c>
      <c r="C56">
        <v>5.4981999999999998</v>
      </c>
      <c r="E56" s="1"/>
      <c r="F56" s="12"/>
    </row>
    <row r="57" spans="1:6" x14ac:dyDescent="0.35">
      <c r="A57" s="12">
        <v>44482</v>
      </c>
      <c r="B57" s="12">
        <f t="shared" si="0"/>
        <v>44470</v>
      </c>
      <c r="C57">
        <v>5.5464000000000002</v>
      </c>
      <c r="E57" s="1"/>
      <c r="F57" s="12"/>
    </row>
    <row r="58" spans="1:6" x14ac:dyDescent="0.35">
      <c r="A58" s="12">
        <v>44480</v>
      </c>
      <c r="B58" s="12">
        <f t="shared" si="0"/>
        <v>44470</v>
      </c>
      <c r="C58">
        <v>5.5155000000000003</v>
      </c>
      <c r="E58" s="1"/>
      <c r="F58" s="12"/>
    </row>
    <row r="59" spans="1:6" x14ac:dyDescent="0.35">
      <c r="A59" s="12">
        <v>44477</v>
      </c>
      <c r="B59" s="12">
        <f t="shared" si="0"/>
        <v>44470</v>
      </c>
      <c r="C59">
        <v>5.5077999999999996</v>
      </c>
      <c r="E59" s="1"/>
      <c r="F59" s="12"/>
    </row>
    <row r="60" spans="1:6" x14ac:dyDescent="0.35">
      <c r="A60" s="12">
        <v>44476</v>
      </c>
      <c r="B60" s="12">
        <f t="shared" si="0"/>
        <v>44470</v>
      </c>
      <c r="C60">
        <v>5.5133999999999999</v>
      </c>
      <c r="E60" s="1"/>
      <c r="F60" s="12"/>
    </row>
    <row r="61" spans="1:6" x14ac:dyDescent="0.35">
      <c r="A61" s="12">
        <v>44475</v>
      </c>
      <c r="B61" s="12">
        <f t="shared" si="0"/>
        <v>44470</v>
      </c>
      <c r="C61">
        <v>5.5091000000000001</v>
      </c>
      <c r="E61" s="1"/>
      <c r="F61" s="12"/>
    </row>
    <row r="62" spans="1:6" x14ac:dyDescent="0.35">
      <c r="A62" s="12">
        <v>44474</v>
      </c>
      <c r="B62" s="12">
        <f t="shared" si="0"/>
        <v>44470</v>
      </c>
      <c r="C62">
        <v>5.4604999999999997</v>
      </c>
      <c r="E62" s="1"/>
      <c r="F62" s="12"/>
    </row>
    <row r="63" spans="1:6" x14ac:dyDescent="0.35">
      <c r="A63" s="12">
        <v>44473</v>
      </c>
      <c r="B63" s="12">
        <f t="shared" si="0"/>
        <v>44470</v>
      </c>
      <c r="C63">
        <v>5.4198000000000004</v>
      </c>
      <c r="E63" s="1"/>
      <c r="F63" s="12"/>
    </row>
    <row r="64" spans="1:6" x14ac:dyDescent="0.35">
      <c r="A64" s="12">
        <v>44470</v>
      </c>
      <c r="B64" s="12">
        <f t="shared" si="0"/>
        <v>44470</v>
      </c>
      <c r="C64">
        <v>5.3905000000000003</v>
      </c>
      <c r="E64" s="1"/>
      <c r="F64" s="12"/>
    </row>
    <row r="65" spans="1:6" x14ac:dyDescent="0.35">
      <c r="A65" s="12">
        <v>44469</v>
      </c>
      <c r="B65" s="12">
        <f t="shared" si="0"/>
        <v>44440</v>
      </c>
      <c r="C65">
        <v>5.4387999999999996</v>
      </c>
      <c r="E65" s="1"/>
      <c r="F65" s="12"/>
    </row>
    <row r="66" spans="1:6" x14ac:dyDescent="0.35">
      <c r="A66" s="12">
        <v>44468</v>
      </c>
      <c r="B66" s="12">
        <f t="shared" si="0"/>
        <v>44440</v>
      </c>
      <c r="C66">
        <v>5.4166999999999996</v>
      </c>
      <c r="E66" s="1"/>
      <c r="F66" s="12"/>
    </row>
    <row r="67" spans="1:6" x14ac:dyDescent="0.35">
      <c r="A67" s="12">
        <v>44467</v>
      </c>
      <c r="B67" s="12">
        <f t="shared" ref="B67:B130" si="1">DATE(YEAR(A67),MONTH(A67),DAY(1))</f>
        <v>44440</v>
      </c>
      <c r="C67">
        <v>5.42</v>
      </c>
      <c r="E67" s="1"/>
      <c r="F67" s="12"/>
    </row>
    <row r="68" spans="1:6" x14ac:dyDescent="0.35">
      <c r="A68" s="12">
        <v>44466</v>
      </c>
      <c r="B68" s="12">
        <f t="shared" si="1"/>
        <v>44440</v>
      </c>
      <c r="C68">
        <v>5.3472</v>
      </c>
      <c r="E68" s="1"/>
      <c r="F68" s="12"/>
    </row>
    <row r="69" spans="1:6" x14ac:dyDescent="0.35">
      <c r="A69" s="12">
        <v>44463</v>
      </c>
      <c r="B69" s="12">
        <f t="shared" si="1"/>
        <v>44440</v>
      </c>
      <c r="C69">
        <v>5.3429000000000002</v>
      </c>
      <c r="E69" s="1"/>
      <c r="F69" s="12"/>
    </row>
    <row r="70" spans="1:6" x14ac:dyDescent="0.35">
      <c r="A70" s="12">
        <v>44462</v>
      </c>
      <c r="B70" s="12">
        <f t="shared" si="1"/>
        <v>44440</v>
      </c>
      <c r="C70">
        <v>5.2885</v>
      </c>
      <c r="E70" s="1"/>
      <c r="F70" s="12"/>
    </row>
    <row r="71" spans="1:6" x14ac:dyDescent="0.35">
      <c r="A71" s="12">
        <v>44461</v>
      </c>
      <c r="B71" s="12">
        <f t="shared" si="1"/>
        <v>44440</v>
      </c>
      <c r="C71">
        <v>5.2777000000000003</v>
      </c>
      <c r="E71" s="1"/>
      <c r="F71" s="12"/>
    </row>
    <row r="72" spans="1:6" x14ac:dyDescent="0.35">
      <c r="A72" s="12">
        <v>44460</v>
      </c>
      <c r="B72" s="12">
        <f t="shared" si="1"/>
        <v>44440</v>
      </c>
      <c r="C72">
        <v>5.3037999999999998</v>
      </c>
      <c r="E72" s="1"/>
      <c r="F72" s="12"/>
    </row>
    <row r="73" spans="1:6" x14ac:dyDescent="0.35">
      <c r="A73" s="12">
        <v>44459</v>
      </c>
      <c r="B73" s="12">
        <f t="shared" si="1"/>
        <v>44440</v>
      </c>
      <c r="C73">
        <v>5.3326000000000002</v>
      </c>
      <c r="E73" s="1"/>
      <c r="F73" s="12"/>
    </row>
    <row r="74" spans="1:6" x14ac:dyDescent="0.35">
      <c r="A74" s="12">
        <v>44456</v>
      </c>
      <c r="B74" s="12">
        <f t="shared" si="1"/>
        <v>44440</v>
      </c>
      <c r="C74">
        <v>5.3097000000000003</v>
      </c>
      <c r="E74" s="1"/>
      <c r="F74" s="12"/>
    </row>
    <row r="75" spans="1:6" x14ac:dyDescent="0.35">
      <c r="A75" s="12">
        <v>44455</v>
      </c>
      <c r="B75" s="12">
        <f t="shared" si="1"/>
        <v>44440</v>
      </c>
      <c r="C75">
        <v>5.2587999999999999</v>
      </c>
      <c r="E75" s="1"/>
      <c r="F75" s="12"/>
    </row>
    <row r="76" spans="1:6" x14ac:dyDescent="0.35">
      <c r="A76" s="12">
        <v>44454</v>
      </c>
      <c r="B76" s="12">
        <f t="shared" si="1"/>
        <v>44440</v>
      </c>
      <c r="C76">
        <v>5.2569999999999997</v>
      </c>
      <c r="E76" s="1"/>
      <c r="F76" s="12"/>
    </row>
    <row r="77" spans="1:6" x14ac:dyDescent="0.35">
      <c r="A77" s="12">
        <v>44453</v>
      </c>
      <c r="B77" s="12">
        <f t="shared" si="1"/>
        <v>44440</v>
      </c>
      <c r="C77">
        <v>5.2253999999999996</v>
      </c>
      <c r="E77" s="1"/>
      <c r="F77" s="12"/>
    </row>
    <row r="78" spans="1:6" x14ac:dyDescent="0.35">
      <c r="A78" s="12">
        <v>44452</v>
      </c>
      <c r="B78" s="12">
        <f t="shared" si="1"/>
        <v>44440</v>
      </c>
      <c r="C78">
        <v>5.2183999999999999</v>
      </c>
      <c r="E78" s="1"/>
      <c r="F78" s="12"/>
    </row>
    <row r="79" spans="1:6" x14ac:dyDescent="0.35">
      <c r="A79" s="12">
        <v>44449</v>
      </c>
      <c r="B79" s="12">
        <f t="shared" si="1"/>
        <v>44440</v>
      </c>
      <c r="C79">
        <v>5.2152000000000003</v>
      </c>
      <c r="E79" s="1"/>
      <c r="F79" s="12"/>
    </row>
    <row r="80" spans="1:6" x14ac:dyDescent="0.35">
      <c r="A80" s="12">
        <v>44448</v>
      </c>
      <c r="B80" s="12">
        <f t="shared" si="1"/>
        <v>44440</v>
      </c>
      <c r="C80">
        <v>5.2819000000000003</v>
      </c>
      <c r="E80" s="1"/>
      <c r="F80" s="12"/>
    </row>
    <row r="81" spans="1:6" x14ac:dyDescent="0.35">
      <c r="A81" s="12">
        <v>44447</v>
      </c>
      <c r="B81" s="12">
        <f t="shared" si="1"/>
        <v>44440</v>
      </c>
      <c r="C81">
        <v>5.2518000000000002</v>
      </c>
      <c r="E81" s="1"/>
      <c r="F81" s="12"/>
    </row>
    <row r="82" spans="1:6" x14ac:dyDescent="0.35">
      <c r="A82" s="12">
        <v>44445</v>
      </c>
      <c r="B82" s="12">
        <f t="shared" si="1"/>
        <v>44440</v>
      </c>
      <c r="C82">
        <v>5.1767000000000003</v>
      </c>
      <c r="E82" s="1"/>
      <c r="F82" s="12"/>
    </row>
    <row r="83" spans="1:6" x14ac:dyDescent="0.35">
      <c r="A83" s="12">
        <v>44442</v>
      </c>
      <c r="B83" s="12">
        <f t="shared" si="1"/>
        <v>44440</v>
      </c>
      <c r="C83">
        <v>5.1679000000000004</v>
      </c>
      <c r="E83" s="1"/>
      <c r="F83" s="12"/>
    </row>
    <row r="84" spans="1:6" x14ac:dyDescent="0.35">
      <c r="A84" s="12">
        <v>44441</v>
      </c>
      <c r="B84" s="12">
        <f t="shared" si="1"/>
        <v>44440</v>
      </c>
      <c r="C84">
        <v>5.1729000000000003</v>
      </c>
      <c r="E84" s="1"/>
      <c r="F84" s="12"/>
    </row>
    <row r="85" spans="1:6" x14ac:dyDescent="0.35">
      <c r="A85" s="12">
        <v>44440</v>
      </c>
      <c r="B85" s="12">
        <f t="shared" si="1"/>
        <v>44440</v>
      </c>
      <c r="C85">
        <v>5.157</v>
      </c>
      <c r="E85" s="1"/>
      <c r="F85" s="12"/>
    </row>
    <row r="86" spans="1:6" x14ac:dyDescent="0.35">
      <c r="A86" s="12">
        <v>44439</v>
      </c>
      <c r="B86" s="12">
        <f t="shared" si="1"/>
        <v>44409</v>
      </c>
      <c r="C86">
        <v>5.1426999999999996</v>
      </c>
      <c r="E86" s="1"/>
      <c r="F86" s="12"/>
    </row>
    <row r="87" spans="1:6" x14ac:dyDescent="0.35">
      <c r="A87" s="12">
        <v>44438</v>
      </c>
      <c r="B87" s="12">
        <f t="shared" si="1"/>
        <v>44409</v>
      </c>
      <c r="C87">
        <v>5.1946000000000003</v>
      </c>
      <c r="E87" s="1"/>
      <c r="F87" s="12"/>
    </row>
    <row r="88" spans="1:6" x14ac:dyDescent="0.35">
      <c r="A88" s="12">
        <v>44435</v>
      </c>
      <c r="B88" s="12">
        <f t="shared" si="1"/>
        <v>44409</v>
      </c>
      <c r="C88">
        <v>5.2194000000000003</v>
      </c>
      <c r="E88" s="1"/>
      <c r="F88" s="12"/>
    </row>
    <row r="89" spans="1:6" x14ac:dyDescent="0.35">
      <c r="A89" s="12">
        <v>44434</v>
      </c>
      <c r="B89" s="12">
        <f t="shared" si="1"/>
        <v>44409</v>
      </c>
      <c r="C89">
        <v>5.2423000000000002</v>
      </c>
      <c r="E89" s="1"/>
      <c r="F89" s="12"/>
    </row>
    <row r="90" spans="1:6" x14ac:dyDescent="0.35">
      <c r="A90" s="12">
        <v>44433</v>
      </c>
      <c r="B90" s="12">
        <f t="shared" si="1"/>
        <v>44409</v>
      </c>
      <c r="C90">
        <v>5.2458999999999998</v>
      </c>
      <c r="E90" s="1"/>
      <c r="F90" s="12"/>
    </row>
    <row r="91" spans="1:6" x14ac:dyDescent="0.35">
      <c r="A91" s="12">
        <v>44432</v>
      </c>
      <c r="B91" s="12">
        <f t="shared" si="1"/>
        <v>44409</v>
      </c>
      <c r="C91">
        <v>5.3010999999999999</v>
      </c>
      <c r="E91" s="1"/>
      <c r="F91" s="12"/>
    </row>
    <row r="92" spans="1:6" x14ac:dyDescent="0.35">
      <c r="A92" s="12">
        <v>44431</v>
      </c>
      <c r="B92" s="12">
        <f t="shared" si="1"/>
        <v>44409</v>
      </c>
      <c r="C92">
        <v>5.3680000000000003</v>
      </c>
      <c r="E92" s="1"/>
      <c r="F92" s="12"/>
    </row>
    <row r="93" spans="1:6" x14ac:dyDescent="0.35">
      <c r="A93" s="12">
        <v>44428</v>
      </c>
      <c r="B93" s="12">
        <f t="shared" si="1"/>
        <v>44409</v>
      </c>
      <c r="C93">
        <v>5.4268000000000001</v>
      </c>
      <c r="E93" s="1"/>
      <c r="F93" s="12"/>
    </row>
    <row r="94" spans="1:6" x14ac:dyDescent="0.35">
      <c r="A94" s="12">
        <v>44427</v>
      </c>
      <c r="B94" s="12">
        <f t="shared" si="1"/>
        <v>44409</v>
      </c>
      <c r="C94">
        <v>5.4173999999999998</v>
      </c>
      <c r="E94" s="1"/>
      <c r="F94" s="12"/>
    </row>
    <row r="95" spans="1:6" x14ac:dyDescent="0.35">
      <c r="A95" s="12">
        <v>44426</v>
      </c>
      <c r="B95" s="12">
        <f t="shared" si="1"/>
        <v>44409</v>
      </c>
      <c r="C95">
        <v>5.3018999999999998</v>
      </c>
      <c r="E95" s="1"/>
      <c r="F95" s="12"/>
    </row>
    <row r="96" spans="1:6" x14ac:dyDescent="0.35">
      <c r="A96" s="12">
        <v>44425</v>
      </c>
      <c r="B96" s="12">
        <f t="shared" si="1"/>
        <v>44409</v>
      </c>
      <c r="C96">
        <v>5.2579000000000002</v>
      </c>
      <c r="E96" s="1"/>
      <c r="F96" s="12"/>
    </row>
    <row r="97" spans="1:6" x14ac:dyDescent="0.35">
      <c r="A97" s="12">
        <v>44424</v>
      </c>
      <c r="B97" s="12">
        <f t="shared" si="1"/>
        <v>44409</v>
      </c>
      <c r="C97">
        <v>5.2488999999999999</v>
      </c>
      <c r="E97" s="1"/>
      <c r="F97" s="12"/>
    </row>
    <row r="98" spans="1:6" x14ac:dyDescent="0.35">
      <c r="A98" s="12">
        <v>44421</v>
      </c>
      <c r="B98" s="12">
        <f t="shared" si="1"/>
        <v>44409</v>
      </c>
      <c r="C98">
        <v>5.2468000000000004</v>
      </c>
      <c r="E98" s="1"/>
      <c r="F98" s="12"/>
    </row>
    <row r="99" spans="1:6" x14ac:dyDescent="0.35">
      <c r="A99" s="12">
        <v>44420</v>
      </c>
      <c r="B99" s="12">
        <f t="shared" si="1"/>
        <v>44409</v>
      </c>
      <c r="C99">
        <v>5.2344999999999997</v>
      </c>
      <c r="E99" s="1"/>
      <c r="F99" s="12"/>
    </row>
    <row r="100" spans="1:6" x14ac:dyDescent="0.35">
      <c r="A100" s="12">
        <v>44419</v>
      </c>
      <c r="B100" s="12">
        <f t="shared" si="1"/>
        <v>44409</v>
      </c>
      <c r="C100">
        <v>5.2007000000000003</v>
      </c>
      <c r="E100" s="1"/>
      <c r="F100" s="12"/>
    </row>
    <row r="101" spans="1:6" x14ac:dyDescent="0.35">
      <c r="A101" s="12">
        <v>44418</v>
      </c>
      <c r="B101" s="12">
        <f t="shared" si="1"/>
        <v>44409</v>
      </c>
      <c r="C101">
        <v>5.2210999999999999</v>
      </c>
      <c r="E101" s="1"/>
      <c r="F101" s="12"/>
    </row>
    <row r="102" spans="1:6" x14ac:dyDescent="0.35">
      <c r="A102" s="12">
        <v>44417</v>
      </c>
      <c r="B102" s="12">
        <f t="shared" si="1"/>
        <v>44409</v>
      </c>
      <c r="C102">
        <v>5.2767999999999997</v>
      </c>
      <c r="E102" s="1"/>
      <c r="F102" s="12"/>
    </row>
    <row r="103" spans="1:6" x14ac:dyDescent="0.35">
      <c r="A103" s="12">
        <v>44414</v>
      </c>
      <c r="B103" s="12">
        <f t="shared" si="1"/>
        <v>44409</v>
      </c>
      <c r="C103">
        <v>5.2404000000000002</v>
      </c>
      <c r="E103" s="1"/>
      <c r="F103" s="12"/>
    </row>
    <row r="104" spans="1:6" x14ac:dyDescent="0.35">
      <c r="A104" s="12">
        <v>44413</v>
      </c>
      <c r="B104" s="12">
        <f t="shared" si="1"/>
        <v>44409</v>
      </c>
      <c r="C104">
        <v>5.1459000000000001</v>
      </c>
      <c r="E104" s="1"/>
      <c r="F104" s="12"/>
    </row>
    <row r="105" spans="1:6" x14ac:dyDescent="0.35">
      <c r="A105" s="12">
        <v>44412</v>
      </c>
      <c r="B105" s="12">
        <f t="shared" si="1"/>
        <v>44409</v>
      </c>
      <c r="C105">
        <v>5.2084999999999999</v>
      </c>
      <c r="E105" s="1"/>
      <c r="F105" s="12"/>
    </row>
    <row r="106" spans="1:6" x14ac:dyDescent="0.35">
      <c r="A106" s="12">
        <v>44411</v>
      </c>
      <c r="B106" s="12">
        <f t="shared" si="1"/>
        <v>44409</v>
      </c>
      <c r="C106">
        <v>5.2458</v>
      </c>
      <c r="E106" s="1"/>
      <c r="F106" s="12"/>
    </row>
    <row r="107" spans="1:6" x14ac:dyDescent="0.35">
      <c r="A107" s="12">
        <v>44410</v>
      </c>
      <c r="B107" s="12">
        <f t="shared" si="1"/>
        <v>44409</v>
      </c>
      <c r="C107">
        <v>5.1372999999999998</v>
      </c>
      <c r="E107" s="1"/>
      <c r="F107" s="12"/>
    </row>
    <row r="108" spans="1:6" x14ac:dyDescent="0.35">
      <c r="A108" s="12">
        <v>44407</v>
      </c>
      <c r="B108" s="12">
        <f t="shared" si="1"/>
        <v>44378</v>
      </c>
      <c r="C108">
        <v>5.1210000000000004</v>
      </c>
      <c r="E108" s="1"/>
      <c r="F108" s="12"/>
    </row>
    <row r="109" spans="1:6" x14ac:dyDescent="0.35">
      <c r="A109" s="12">
        <v>44406</v>
      </c>
      <c r="B109" s="12">
        <f t="shared" si="1"/>
        <v>44378</v>
      </c>
      <c r="C109">
        <v>5.0675999999999997</v>
      </c>
      <c r="E109" s="1"/>
      <c r="F109" s="12"/>
    </row>
    <row r="110" spans="1:6" x14ac:dyDescent="0.35">
      <c r="A110" s="12">
        <v>44405</v>
      </c>
      <c r="B110" s="12">
        <f t="shared" si="1"/>
        <v>44378</v>
      </c>
      <c r="C110">
        <v>5.1520999999999999</v>
      </c>
      <c r="E110" s="1"/>
      <c r="F110" s="12"/>
    </row>
    <row r="111" spans="1:6" x14ac:dyDescent="0.35">
      <c r="A111" s="12">
        <v>44404</v>
      </c>
      <c r="B111" s="12">
        <f t="shared" si="1"/>
        <v>44378</v>
      </c>
      <c r="C111">
        <v>5.1662999999999997</v>
      </c>
      <c r="E111" s="1"/>
      <c r="F111" s="12"/>
    </row>
    <row r="112" spans="1:6" x14ac:dyDescent="0.35">
      <c r="A112" s="12">
        <v>44403</v>
      </c>
      <c r="B112" s="12">
        <f t="shared" si="1"/>
        <v>44378</v>
      </c>
      <c r="C112">
        <v>5.1856999999999998</v>
      </c>
      <c r="E112" s="1"/>
      <c r="F112" s="12"/>
    </row>
    <row r="113" spans="1:6" x14ac:dyDescent="0.35">
      <c r="A113" s="12">
        <v>44400</v>
      </c>
      <c r="B113" s="12">
        <f t="shared" si="1"/>
        <v>44378</v>
      </c>
      <c r="C113">
        <v>5.1695000000000002</v>
      </c>
      <c r="E113" s="1"/>
      <c r="F113" s="12"/>
    </row>
    <row r="114" spans="1:6" x14ac:dyDescent="0.35">
      <c r="A114" s="12">
        <v>44399</v>
      </c>
      <c r="B114" s="12">
        <f t="shared" si="1"/>
        <v>44378</v>
      </c>
      <c r="C114">
        <v>5.1971999999999996</v>
      </c>
      <c r="E114" s="1"/>
      <c r="F114" s="12"/>
    </row>
    <row r="115" spans="1:6" x14ac:dyDescent="0.35">
      <c r="A115" s="12">
        <v>44398</v>
      </c>
      <c r="B115" s="12">
        <f t="shared" si="1"/>
        <v>44378</v>
      </c>
      <c r="C115">
        <v>5.2510000000000003</v>
      </c>
      <c r="E115" s="1"/>
      <c r="F115" s="12"/>
    </row>
    <row r="116" spans="1:6" x14ac:dyDescent="0.35">
      <c r="A116" s="12">
        <v>44397</v>
      </c>
      <c r="B116" s="12">
        <f t="shared" si="1"/>
        <v>44378</v>
      </c>
      <c r="C116">
        <v>5.2458999999999998</v>
      </c>
      <c r="E116" s="1"/>
      <c r="F116" s="12"/>
    </row>
    <row r="117" spans="1:6" x14ac:dyDescent="0.35">
      <c r="A117" s="12">
        <v>44396</v>
      </c>
      <c r="B117" s="12">
        <f t="shared" si="1"/>
        <v>44378</v>
      </c>
      <c r="C117">
        <v>5.1971999999999996</v>
      </c>
      <c r="E117" s="1"/>
      <c r="F117" s="12"/>
    </row>
    <row r="118" spans="1:6" x14ac:dyDescent="0.35">
      <c r="A118" s="12">
        <v>44393</v>
      </c>
      <c r="B118" s="12">
        <f t="shared" si="1"/>
        <v>44378</v>
      </c>
      <c r="C118">
        <v>5.0934999999999997</v>
      </c>
      <c r="E118" s="1"/>
      <c r="F118" s="12"/>
    </row>
    <row r="119" spans="1:6" x14ac:dyDescent="0.35">
      <c r="A119" s="12">
        <v>44392</v>
      </c>
      <c r="B119" s="12">
        <f t="shared" si="1"/>
        <v>44378</v>
      </c>
      <c r="C119">
        <v>5.0994000000000002</v>
      </c>
      <c r="E119" s="1"/>
      <c r="F119" s="12"/>
    </row>
    <row r="120" spans="1:6" x14ac:dyDescent="0.35">
      <c r="A120" s="12">
        <v>44391</v>
      </c>
      <c r="B120" s="12">
        <f t="shared" si="1"/>
        <v>44378</v>
      </c>
      <c r="C120">
        <v>5.0873999999999997</v>
      </c>
      <c r="E120" s="1"/>
      <c r="F120" s="12"/>
    </row>
    <row r="121" spans="1:6" x14ac:dyDescent="0.35">
      <c r="A121" s="12">
        <v>44390</v>
      </c>
      <c r="B121" s="12">
        <f t="shared" si="1"/>
        <v>44378</v>
      </c>
      <c r="C121">
        <v>5.1764000000000001</v>
      </c>
      <c r="E121" s="1"/>
      <c r="F121" s="12"/>
    </row>
    <row r="122" spans="1:6" x14ac:dyDescent="0.35">
      <c r="A122" s="12">
        <v>44389</v>
      </c>
      <c r="B122" s="12">
        <f t="shared" si="1"/>
        <v>44378</v>
      </c>
      <c r="C122">
        <v>5.2233000000000001</v>
      </c>
      <c r="E122" s="1"/>
      <c r="F122" s="12"/>
    </row>
    <row r="123" spans="1:6" x14ac:dyDescent="0.35">
      <c r="A123" s="12">
        <v>44386</v>
      </c>
      <c r="B123" s="12">
        <f t="shared" si="1"/>
        <v>44378</v>
      </c>
      <c r="C123">
        <v>5.2370000000000001</v>
      </c>
      <c r="E123" s="1"/>
      <c r="F123" s="12"/>
    </row>
    <row r="124" spans="1:6" x14ac:dyDescent="0.35">
      <c r="A124" s="12">
        <v>44385</v>
      </c>
      <c r="B124" s="12">
        <f t="shared" si="1"/>
        <v>44378</v>
      </c>
      <c r="C124">
        <v>5.2580999999999998</v>
      </c>
      <c r="E124" s="1"/>
      <c r="F124" s="12"/>
    </row>
    <row r="125" spans="1:6" x14ac:dyDescent="0.35">
      <c r="A125" s="12">
        <v>44384</v>
      </c>
      <c r="B125" s="12">
        <f t="shared" si="1"/>
        <v>44378</v>
      </c>
      <c r="C125">
        <v>5.2321999999999997</v>
      </c>
      <c r="E125" s="1"/>
      <c r="F125" s="12"/>
    </row>
    <row r="126" spans="1:6" x14ac:dyDescent="0.35">
      <c r="A126" s="12">
        <v>44383</v>
      </c>
      <c r="B126" s="12">
        <f t="shared" si="1"/>
        <v>44378</v>
      </c>
      <c r="C126">
        <v>5.1638999999999999</v>
      </c>
      <c r="E126" s="1"/>
      <c r="F126" s="12"/>
    </row>
    <row r="127" spans="1:6" x14ac:dyDescent="0.35">
      <c r="A127" s="12">
        <v>44382</v>
      </c>
      <c r="B127" s="12">
        <f t="shared" si="1"/>
        <v>44378</v>
      </c>
      <c r="C127">
        <v>5.0743</v>
      </c>
      <c r="E127" s="1"/>
      <c r="F127" s="12"/>
    </row>
    <row r="128" spans="1:6" x14ac:dyDescent="0.35">
      <c r="A128" s="12">
        <v>44379</v>
      </c>
      <c r="B128" s="12">
        <f t="shared" si="1"/>
        <v>44378</v>
      </c>
      <c r="C128">
        <v>5.0286999999999997</v>
      </c>
      <c r="E128" s="1"/>
      <c r="F128" s="12"/>
    </row>
    <row r="129" spans="1:6" x14ac:dyDescent="0.35">
      <c r="A129" s="12">
        <v>44378</v>
      </c>
      <c r="B129" s="12">
        <f t="shared" si="1"/>
        <v>44378</v>
      </c>
      <c r="C129">
        <v>5.0049000000000001</v>
      </c>
      <c r="E129" s="1"/>
      <c r="F129" s="12"/>
    </row>
    <row r="130" spans="1:6" x14ac:dyDescent="0.35">
      <c r="A130" s="12">
        <v>44377</v>
      </c>
      <c r="B130" s="12">
        <f t="shared" si="1"/>
        <v>44348</v>
      </c>
      <c r="C130">
        <v>5.0015999999999998</v>
      </c>
      <c r="E130" s="1"/>
      <c r="F130" s="12"/>
    </row>
    <row r="131" spans="1:6" x14ac:dyDescent="0.35">
      <c r="A131" s="12">
        <v>44375</v>
      </c>
      <c r="B131" s="12">
        <f t="shared" ref="B131:B194" si="2">DATE(YEAR(A131),MONTH(A131),DAY(1))</f>
        <v>44348</v>
      </c>
      <c r="C131">
        <v>4.9413999999999998</v>
      </c>
      <c r="E131" s="1"/>
      <c r="F131" s="12"/>
    </row>
    <row r="132" spans="1:6" x14ac:dyDescent="0.35">
      <c r="A132" s="12">
        <v>44372</v>
      </c>
      <c r="B132" s="12">
        <f t="shared" si="2"/>
        <v>44348</v>
      </c>
      <c r="C132">
        <v>4.92</v>
      </c>
      <c r="E132" s="1"/>
      <c r="F132" s="12"/>
    </row>
    <row r="133" spans="1:6" x14ac:dyDescent="0.35">
      <c r="A133" s="12">
        <v>44371</v>
      </c>
      <c r="B133" s="12">
        <f t="shared" si="2"/>
        <v>44348</v>
      </c>
      <c r="C133">
        <v>4.9271000000000003</v>
      </c>
      <c r="E133" s="1"/>
      <c r="F133" s="12"/>
    </row>
    <row r="134" spans="1:6" x14ac:dyDescent="0.35">
      <c r="A134" s="12">
        <v>44370</v>
      </c>
      <c r="B134" s="12">
        <f t="shared" si="2"/>
        <v>44348</v>
      </c>
      <c r="C134">
        <v>4.9512999999999998</v>
      </c>
      <c r="E134" s="1"/>
      <c r="F134" s="12"/>
    </row>
    <row r="135" spans="1:6" x14ac:dyDescent="0.35">
      <c r="A135" s="12">
        <v>44365</v>
      </c>
      <c r="B135" s="12">
        <f t="shared" si="2"/>
        <v>44348</v>
      </c>
      <c r="C135">
        <v>5.0313999999999997</v>
      </c>
      <c r="E135" s="1"/>
      <c r="F135" s="12"/>
    </row>
    <row r="136" spans="1:6" x14ac:dyDescent="0.35">
      <c r="A136" s="12">
        <v>44364</v>
      </c>
      <c r="B136" s="12">
        <f t="shared" si="2"/>
        <v>44348</v>
      </c>
      <c r="C136">
        <v>5.0358999999999998</v>
      </c>
      <c r="E136" s="1"/>
      <c r="F136" s="12"/>
    </row>
    <row r="137" spans="1:6" x14ac:dyDescent="0.35">
      <c r="A137" s="12">
        <v>44363</v>
      </c>
      <c r="B137" s="12">
        <f t="shared" si="2"/>
        <v>44348</v>
      </c>
      <c r="C137">
        <v>5.0206999999999997</v>
      </c>
      <c r="E137" s="1"/>
      <c r="F137" s="12"/>
    </row>
    <row r="138" spans="1:6" x14ac:dyDescent="0.35">
      <c r="A138" s="12">
        <v>44362</v>
      </c>
      <c r="B138" s="12">
        <f t="shared" si="2"/>
        <v>44348</v>
      </c>
      <c r="C138">
        <v>5.0873999999999997</v>
      </c>
      <c r="E138" s="1"/>
      <c r="F138" s="12"/>
    </row>
    <row r="139" spans="1:6" x14ac:dyDescent="0.35">
      <c r="A139" s="12">
        <v>44361</v>
      </c>
      <c r="B139" s="12">
        <f t="shared" si="2"/>
        <v>44348</v>
      </c>
      <c r="C139">
        <v>5.0707000000000004</v>
      </c>
      <c r="E139" s="1"/>
      <c r="F139" s="12"/>
    </row>
    <row r="140" spans="1:6" x14ac:dyDescent="0.35">
      <c r="A140" s="12">
        <v>44358</v>
      </c>
      <c r="B140" s="12">
        <f t="shared" si="2"/>
        <v>44348</v>
      </c>
      <c r="C140">
        <v>5.1189999999999998</v>
      </c>
      <c r="E140" s="1"/>
      <c r="F140" s="12"/>
    </row>
    <row r="141" spans="1:6" x14ac:dyDescent="0.35">
      <c r="A141" s="12">
        <v>44357</v>
      </c>
      <c r="B141" s="12">
        <f t="shared" si="2"/>
        <v>44348</v>
      </c>
      <c r="C141">
        <v>5.0635000000000003</v>
      </c>
      <c r="E141" s="1"/>
      <c r="F141" s="12"/>
    </row>
    <row r="142" spans="1:6" x14ac:dyDescent="0.35">
      <c r="A142" s="12">
        <v>44356</v>
      </c>
      <c r="B142" s="12">
        <f t="shared" si="2"/>
        <v>44348</v>
      </c>
      <c r="C142">
        <v>5.0533000000000001</v>
      </c>
      <c r="E142" s="1"/>
      <c r="F142" s="12"/>
    </row>
    <row r="143" spans="1:6" x14ac:dyDescent="0.35">
      <c r="A143" s="12">
        <v>44355</v>
      </c>
      <c r="B143" s="12">
        <f t="shared" si="2"/>
        <v>44348</v>
      </c>
      <c r="C143">
        <v>5.0488999999999997</v>
      </c>
      <c r="E143" s="1"/>
      <c r="F143" s="12"/>
    </row>
    <row r="144" spans="1:6" x14ac:dyDescent="0.35">
      <c r="A144" s="12">
        <v>44354</v>
      </c>
      <c r="B144" s="12">
        <f t="shared" si="2"/>
        <v>44348</v>
      </c>
      <c r="C144">
        <v>5.0498000000000003</v>
      </c>
      <c r="E144" s="1"/>
      <c r="F144" s="12"/>
    </row>
    <row r="145" spans="1:6" x14ac:dyDescent="0.35">
      <c r="A145" s="12">
        <v>44351</v>
      </c>
      <c r="B145" s="12">
        <f t="shared" si="2"/>
        <v>44348</v>
      </c>
      <c r="C145">
        <v>5.0666000000000002</v>
      </c>
      <c r="E145" s="1"/>
      <c r="F145" s="12"/>
    </row>
    <row r="146" spans="1:6" x14ac:dyDescent="0.35">
      <c r="A146" s="12">
        <v>44349</v>
      </c>
      <c r="B146" s="12">
        <f t="shared" si="2"/>
        <v>44348</v>
      </c>
      <c r="C146">
        <v>5.1147</v>
      </c>
      <c r="E146" s="1"/>
      <c r="F146" s="12"/>
    </row>
    <row r="147" spans="1:6" x14ac:dyDescent="0.35">
      <c r="A147" s="12">
        <v>44348</v>
      </c>
      <c r="B147" s="12">
        <f t="shared" si="2"/>
        <v>44348</v>
      </c>
      <c r="C147">
        <v>5.1635999999999997</v>
      </c>
      <c r="E147" s="1"/>
      <c r="F147" s="12"/>
    </row>
    <row r="148" spans="1:6" x14ac:dyDescent="0.35">
      <c r="A148" s="12">
        <v>44347</v>
      </c>
      <c r="B148" s="12">
        <f t="shared" si="2"/>
        <v>44317</v>
      </c>
      <c r="C148">
        <v>5.2321999999999997</v>
      </c>
      <c r="E148" s="1"/>
      <c r="F148" s="12"/>
    </row>
    <row r="149" spans="1:6" x14ac:dyDescent="0.35">
      <c r="A149" s="12">
        <v>44344</v>
      </c>
      <c r="B149" s="12">
        <f t="shared" si="2"/>
        <v>44317</v>
      </c>
      <c r="C149">
        <v>5.2281000000000004</v>
      </c>
      <c r="E149" s="1"/>
      <c r="F149" s="12"/>
    </row>
    <row r="150" spans="1:6" x14ac:dyDescent="0.35">
      <c r="A150" s="12">
        <v>44343</v>
      </c>
      <c r="B150" s="12">
        <f t="shared" si="2"/>
        <v>44317</v>
      </c>
      <c r="C150">
        <v>5.2839999999999998</v>
      </c>
      <c r="E150" s="1"/>
      <c r="F150" s="12"/>
    </row>
    <row r="151" spans="1:6" x14ac:dyDescent="0.35">
      <c r="A151" s="12">
        <v>44342</v>
      </c>
      <c r="B151" s="12">
        <f t="shared" si="2"/>
        <v>44317</v>
      </c>
      <c r="C151">
        <v>5.3163999999999998</v>
      </c>
      <c r="E151" s="1"/>
      <c r="F151" s="12"/>
    </row>
    <row r="152" spans="1:6" x14ac:dyDescent="0.35">
      <c r="A152" s="12">
        <v>44341</v>
      </c>
      <c r="B152" s="12">
        <f t="shared" si="2"/>
        <v>44317</v>
      </c>
      <c r="C152">
        <v>5.3143000000000002</v>
      </c>
      <c r="E152" s="1"/>
      <c r="F152" s="12"/>
    </row>
    <row r="153" spans="1:6" x14ac:dyDescent="0.35">
      <c r="A153" s="12">
        <v>44340</v>
      </c>
      <c r="B153" s="12">
        <f t="shared" si="2"/>
        <v>44317</v>
      </c>
      <c r="C153">
        <v>5.3197999999999999</v>
      </c>
      <c r="E153" s="1"/>
      <c r="F153" s="12"/>
    </row>
    <row r="154" spans="1:6" x14ac:dyDescent="0.35">
      <c r="A154" s="12">
        <v>44337</v>
      </c>
      <c r="B154" s="12">
        <f t="shared" si="2"/>
        <v>44317</v>
      </c>
      <c r="C154">
        <v>5.3026999999999997</v>
      </c>
      <c r="E154" s="1"/>
      <c r="F154" s="12"/>
    </row>
    <row r="155" spans="1:6" x14ac:dyDescent="0.35">
      <c r="A155" s="12">
        <v>44336</v>
      </c>
      <c r="B155" s="12">
        <f t="shared" si="2"/>
        <v>44317</v>
      </c>
      <c r="C155">
        <v>5.2904999999999998</v>
      </c>
      <c r="E155" s="1"/>
      <c r="F155" s="12"/>
    </row>
    <row r="156" spans="1:6" x14ac:dyDescent="0.35">
      <c r="A156" s="12">
        <v>44335</v>
      </c>
      <c r="B156" s="12">
        <f t="shared" si="2"/>
        <v>44317</v>
      </c>
      <c r="C156">
        <v>5.2821999999999996</v>
      </c>
      <c r="E156" s="1"/>
      <c r="F156" s="12"/>
    </row>
    <row r="157" spans="1:6" x14ac:dyDescent="0.35">
      <c r="A157" s="12">
        <v>44334</v>
      </c>
      <c r="B157" s="12">
        <f t="shared" si="2"/>
        <v>44317</v>
      </c>
      <c r="C157">
        <v>5.2587999999999999</v>
      </c>
      <c r="E157" s="1"/>
      <c r="F157" s="12"/>
    </row>
    <row r="158" spans="1:6" x14ac:dyDescent="0.35">
      <c r="A158" s="12">
        <v>44333</v>
      </c>
      <c r="B158" s="12">
        <f t="shared" si="2"/>
        <v>44317</v>
      </c>
      <c r="C158">
        <v>5.2748999999999997</v>
      </c>
      <c r="E158" s="1"/>
      <c r="F158" s="12"/>
    </row>
    <row r="159" spans="1:6" x14ac:dyDescent="0.35">
      <c r="A159" s="12">
        <v>44330</v>
      </c>
      <c r="B159" s="12">
        <f t="shared" si="2"/>
        <v>44317</v>
      </c>
      <c r="C159">
        <v>5.2694999999999999</v>
      </c>
      <c r="E159" s="1"/>
      <c r="F159" s="12"/>
    </row>
    <row r="160" spans="1:6" x14ac:dyDescent="0.35">
      <c r="A160" s="12">
        <v>44329</v>
      </c>
      <c r="B160" s="12">
        <f t="shared" si="2"/>
        <v>44317</v>
      </c>
      <c r="C160">
        <v>5.2808999999999999</v>
      </c>
      <c r="E160" s="1"/>
      <c r="F160" s="12"/>
    </row>
    <row r="161" spans="1:6" x14ac:dyDescent="0.35">
      <c r="A161" s="12">
        <v>44328</v>
      </c>
      <c r="B161" s="12">
        <f t="shared" si="2"/>
        <v>44317</v>
      </c>
      <c r="C161">
        <v>5.2347000000000001</v>
      </c>
      <c r="E161" s="1"/>
      <c r="F161" s="12"/>
    </row>
    <row r="162" spans="1:6" x14ac:dyDescent="0.35">
      <c r="A162" s="12">
        <v>44327</v>
      </c>
      <c r="B162" s="12">
        <f t="shared" si="2"/>
        <v>44317</v>
      </c>
      <c r="C162">
        <v>5.2397</v>
      </c>
      <c r="E162" s="1"/>
      <c r="F162" s="12"/>
    </row>
    <row r="163" spans="1:6" x14ac:dyDescent="0.35">
      <c r="A163" s="12">
        <v>44326</v>
      </c>
      <c r="B163" s="12">
        <f t="shared" si="2"/>
        <v>44317</v>
      </c>
      <c r="C163">
        <v>5.2221000000000002</v>
      </c>
      <c r="E163" s="1"/>
      <c r="F163" s="12"/>
    </row>
    <row r="164" spans="1:6" x14ac:dyDescent="0.35">
      <c r="A164" s="12">
        <v>44323</v>
      </c>
      <c r="B164" s="12">
        <f t="shared" si="2"/>
        <v>44317</v>
      </c>
      <c r="C164">
        <v>5.2210999999999999</v>
      </c>
      <c r="E164" s="1"/>
      <c r="F164" s="12"/>
    </row>
    <row r="165" spans="1:6" x14ac:dyDescent="0.35">
      <c r="A165" s="12">
        <v>44322</v>
      </c>
      <c r="B165" s="12">
        <f t="shared" si="2"/>
        <v>44317</v>
      </c>
      <c r="C165">
        <v>5.2891000000000004</v>
      </c>
      <c r="E165" s="1"/>
      <c r="F165" s="12"/>
    </row>
    <row r="166" spans="1:6" x14ac:dyDescent="0.35">
      <c r="A166" s="12">
        <v>44321</v>
      </c>
      <c r="B166" s="12">
        <f t="shared" si="2"/>
        <v>44317</v>
      </c>
      <c r="C166">
        <v>5.3865999999999996</v>
      </c>
      <c r="E166" s="1"/>
      <c r="F166" s="12"/>
    </row>
    <row r="167" spans="1:6" x14ac:dyDescent="0.35">
      <c r="A167" s="12">
        <v>44320</v>
      </c>
      <c r="B167" s="12">
        <f t="shared" si="2"/>
        <v>44317</v>
      </c>
      <c r="C167">
        <v>5.4499000000000004</v>
      </c>
      <c r="E167" s="1"/>
      <c r="F167" s="12"/>
    </row>
    <row r="168" spans="1:6" x14ac:dyDescent="0.35">
      <c r="A168" s="12">
        <v>44319</v>
      </c>
      <c r="B168" s="12">
        <f t="shared" si="2"/>
        <v>44317</v>
      </c>
      <c r="C168">
        <v>5.4081000000000001</v>
      </c>
      <c r="E168" s="1"/>
      <c r="F168" s="12"/>
    </row>
    <row r="169" spans="1:6" x14ac:dyDescent="0.35">
      <c r="A169" s="12">
        <v>44316</v>
      </c>
      <c r="B169" s="12">
        <f t="shared" si="2"/>
        <v>44287</v>
      </c>
      <c r="C169">
        <v>5.4029999999999996</v>
      </c>
      <c r="E169" s="1"/>
      <c r="F169" s="12"/>
    </row>
    <row r="170" spans="1:6" x14ac:dyDescent="0.35">
      <c r="A170" s="12">
        <v>44315</v>
      </c>
      <c r="B170" s="12">
        <f t="shared" si="2"/>
        <v>44287</v>
      </c>
      <c r="C170">
        <v>5.3655999999999997</v>
      </c>
      <c r="E170" s="1"/>
      <c r="F170" s="12"/>
    </row>
    <row r="171" spans="1:6" x14ac:dyDescent="0.35">
      <c r="A171" s="12">
        <v>44314</v>
      </c>
      <c r="B171" s="12">
        <f t="shared" si="2"/>
        <v>44287</v>
      </c>
      <c r="C171">
        <v>5.3998999999999997</v>
      </c>
      <c r="E171" s="1"/>
      <c r="F171" s="12"/>
    </row>
    <row r="172" spans="1:6" x14ac:dyDescent="0.35">
      <c r="A172" s="12">
        <v>44313</v>
      </c>
      <c r="B172" s="12">
        <f t="shared" si="2"/>
        <v>44287</v>
      </c>
      <c r="C172">
        <v>5.4417999999999997</v>
      </c>
      <c r="E172" s="1"/>
      <c r="F172" s="12"/>
    </row>
    <row r="173" spans="1:6" x14ac:dyDescent="0.35">
      <c r="A173" s="12">
        <v>44312</v>
      </c>
      <c r="B173" s="12">
        <f t="shared" si="2"/>
        <v>44287</v>
      </c>
      <c r="C173">
        <v>5.4560000000000004</v>
      </c>
      <c r="E173" s="1"/>
      <c r="F173" s="12"/>
    </row>
    <row r="174" spans="1:6" x14ac:dyDescent="0.35">
      <c r="A174" s="12">
        <v>44309</v>
      </c>
      <c r="B174" s="12">
        <f t="shared" si="2"/>
        <v>44287</v>
      </c>
      <c r="C174">
        <v>5.4781000000000004</v>
      </c>
      <c r="E174" s="1"/>
      <c r="F174" s="12"/>
    </row>
    <row r="175" spans="1:6" x14ac:dyDescent="0.35">
      <c r="A175" s="12">
        <v>44308</v>
      </c>
      <c r="B175" s="12">
        <f t="shared" si="2"/>
        <v>44287</v>
      </c>
      <c r="C175">
        <v>5.4964000000000004</v>
      </c>
      <c r="E175" s="1"/>
      <c r="F175" s="12"/>
    </row>
    <row r="176" spans="1:6" x14ac:dyDescent="0.35">
      <c r="A176" s="12">
        <v>44306</v>
      </c>
      <c r="B176" s="12">
        <f t="shared" si="2"/>
        <v>44287</v>
      </c>
      <c r="C176">
        <v>5.5259999999999998</v>
      </c>
      <c r="E176" s="1"/>
      <c r="F176" s="12"/>
    </row>
    <row r="177" spans="1:6" x14ac:dyDescent="0.35">
      <c r="A177" s="12">
        <v>44305</v>
      </c>
      <c r="B177" s="12">
        <f t="shared" si="2"/>
        <v>44287</v>
      </c>
      <c r="C177">
        <v>5.5743999999999998</v>
      </c>
      <c r="E177" s="1"/>
      <c r="F177" s="12"/>
    </row>
    <row r="178" spans="1:6" x14ac:dyDescent="0.35">
      <c r="A178" s="12">
        <v>44302</v>
      </c>
      <c r="B178" s="12">
        <f t="shared" si="2"/>
        <v>44287</v>
      </c>
      <c r="C178">
        <v>5.6322000000000001</v>
      </c>
      <c r="E178" s="1"/>
      <c r="F178" s="12"/>
    </row>
    <row r="179" spans="1:6" x14ac:dyDescent="0.35">
      <c r="A179" s="12">
        <v>44301</v>
      </c>
      <c r="B179" s="12">
        <f t="shared" si="2"/>
        <v>44287</v>
      </c>
      <c r="C179">
        <v>5.6227999999999998</v>
      </c>
      <c r="E179" s="1"/>
      <c r="F179" s="12"/>
    </row>
    <row r="180" spans="1:6" x14ac:dyDescent="0.35">
      <c r="A180" s="12">
        <v>44300</v>
      </c>
      <c r="B180" s="12">
        <f t="shared" si="2"/>
        <v>44287</v>
      </c>
      <c r="C180">
        <v>5.6929999999999996</v>
      </c>
      <c r="E180" s="1"/>
      <c r="F180" s="12"/>
    </row>
    <row r="181" spans="1:6" x14ac:dyDescent="0.35">
      <c r="A181" s="12">
        <v>44299</v>
      </c>
      <c r="B181" s="12">
        <f t="shared" si="2"/>
        <v>44287</v>
      </c>
      <c r="C181">
        <v>5.7058</v>
      </c>
      <c r="E181" s="1"/>
      <c r="F181" s="12"/>
    </row>
    <row r="182" spans="1:6" x14ac:dyDescent="0.35">
      <c r="A182" s="12">
        <v>44298</v>
      </c>
      <c r="B182" s="12">
        <f t="shared" si="2"/>
        <v>44287</v>
      </c>
      <c r="C182">
        <v>5.6576000000000004</v>
      </c>
      <c r="E182" s="1"/>
      <c r="F182" s="12"/>
    </row>
    <row r="183" spans="1:6" x14ac:dyDescent="0.35">
      <c r="A183" s="12">
        <v>44295</v>
      </c>
      <c r="B183" s="12">
        <f t="shared" si="2"/>
        <v>44287</v>
      </c>
      <c r="C183">
        <v>5.6439000000000004</v>
      </c>
      <c r="E183" s="1"/>
      <c r="F183" s="12"/>
    </row>
    <row r="184" spans="1:6" x14ac:dyDescent="0.35">
      <c r="A184" s="12">
        <v>44294</v>
      </c>
      <c r="B184" s="12">
        <f t="shared" si="2"/>
        <v>44287</v>
      </c>
      <c r="C184">
        <v>5.5811000000000002</v>
      </c>
      <c r="E184" s="1"/>
      <c r="F184" s="12"/>
    </row>
    <row r="185" spans="1:6" x14ac:dyDescent="0.35">
      <c r="A185" s="12">
        <v>44293</v>
      </c>
      <c r="B185" s="12">
        <f t="shared" si="2"/>
        <v>44287</v>
      </c>
      <c r="C185">
        <v>5.5857999999999999</v>
      </c>
      <c r="E185" s="1"/>
      <c r="F185" s="12"/>
    </row>
    <row r="186" spans="1:6" x14ac:dyDescent="0.35">
      <c r="A186" s="12">
        <v>44292</v>
      </c>
      <c r="B186" s="12">
        <f t="shared" si="2"/>
        <v>44287</v>
      </c>
      <c r="C186">
        <v>5.6257000000000001</v>
      </c>
      <c r="E186" s="1"/>
      <c r="F186" s="12"/>
    </row>
    <row r="187" spans="1:6" x14ac:dyDescent="0.35">
      <c r="A187" s="12">
        <v>44291</v>
      </c>
      <c r="B187" s="12">
        <f t="shared" si="2"/>
        <v>44287</v>
      </c>
      <c r="C187">
        <v>5.6573000000000002</v>
      </c>
      <c r="E187" s="1"/>
      <c r="F187" s="12"/>
    </row>
    <row r="188" spans="1:6" x14ac:dyDescent="0.35">
      <c r="A188" s="12">
        <v>44287</v>
      </c>
      <c r="B188" s="12">
        <f t="shared" si="2"/>
        <v>44287</v>
      </c>
      <c r="C188">
        <v>5.6843000000000004</v>
      </c>
      <c r="E188" s="1"/>
      <c r="F188" s="12"/>
    </row>
    <row r="189" spans="1:6" x14ac:dyDescent="0.35">
      <c r="A189" s="12">
        <v>44286</v>
      </c>
      <c r="B189" s="12">
        <f t="shared" si="2"/>
        <v>44256</v>
      </c>
      <c r="C189">
        <v>5.6966999999999999</v>
      </c>
      <c r="E189" s="1"/>
      <c r="F189" s="12"/>
    </row>
    <row r="190" spans="1:6" x14ac:dyDescent="0.35">
      <c r="A190" s="12">
        <v>44285</v>
      </c>
      <c r="B190" s="12">
        <f t="shared" si="2"/>
        <v>44256</v>
      </c>
      <c r="C190">
        <v>5.7636000000000003</v>
      </c>
      <c r="E190" s="1"/>
      <c r="F190" s="12"/>
    </row>
    <row r="191" spans="1:6" x14ac:dyDescent="0.35">
      <c r="A191" s="12">
        <v>44284</v>
      </c>
      <c r="B191" s="12">
        <f t="shared" si="2"/>
        <v>44256</v>
      </c>
      <c r="C191">
        <v>5.7919</v>
      </c>
      <c r="E191" s="1"/>
      <c r="F191" s="12"/>
    </row>
    <row r="192" spans="1:6" x14ac:dyDescent="0.35">
      <c r="A192" s="12">
        <v>44281</v>
      </c>
      <c r="B192" s="12">
        <f t="shared" si="2"/>
        <v>44256</v>
      </c>
      <c r="C192">
        <v>5.7035999999999998</v>
      </c>
      <c r="E192" s="1"/>
      <c r="F192" s="12"/>
    </row>
    <row r="193" spans="1:6" x14ac:dyDescent="0.35">
      <c r="A193" s="12">
        <v>44280</v>
      </c>
      <c r="B193" s="12">
        <f t="shared" si="2"/>
        <v>44256</v>
      </c>
      <c r="C193">
        <v>5.6578999999999997</v>
      </c>
      <c r="E193" s="1"/>
      <c r="F193" s="12"/>
    </row>
    <row r="194" spans="1:6" x14ac:dyDescent="0.35">
      <c r="A194" s="12">
        <v>44279</v>
      </c>
      <c r="B194" s="12">
        <f t="shared" si="2"/>
        <v>44256</v>
      </c>
      <c r="C194">
        <v>5.5324</v>
      </c>
      <c r="E194" s="1"/>
      <c r="F194" s="12"/>
    </row>
    <row r="195" spans="1:6" x14ac:dyDescent="0.35">
      <c r="A195" s="12">
        <v>44278</v>
      </c>
      <c r="B195" s="12">
        <f t="shared" ref="B195:B258" si="3">DATE(YEAR(A195),MONTH(A195),DAY(1))</f>
        <v>44256</v>
      </c>
      <c r="C195">
        <v>5.4945000000000004</v>
      </c>
      <c r="E195" s="1"/>
      <c r="F195" s="12"/>
    </row>
    <row r="196" spans="1:6" x14ac:dyDescent="0.35">
      <c r="A196" s="12">
        <v>44277</v>
      </c>
      <c r="B196" s="12">
        <f t="shared" si="3"/>
        <v>44256</v>
      </c>
      <c r="C196">
        <v>5.5263</v>
      </c>
      <c r="E196" s="1"/>
      <c r="F196" s="12"/>
    </row>
    <row r="197" spans="1:6" x14ac:dyDescent="0.35">
      <c r="A197" s="12">
        <v>44274</v>
      </c>
      <c r="B197" s="12">
        <f t="shared" si="3"/>
        <v>44256</v>
      </c>
      <c r="C197">
        <v>5.5076000000000001</v>
      </c>
      <c r="E197" s="1"/>
      <c r="F197" s="12"/>
    </row>
    <row r="198" spans="1:6" x14ac:dyDescent="0.35">
      <c r="A198" s="12">
        <v>44273</v>
      </c>
      <c r="B198" s="12">
        <f t="shared" si="3"/>
        <v>44256</v>
      </c>
      <c r="C198">
        <v>5.5468000000000002</v>
      </c>
      <c r="E198" s="1"/>
      <c r="F198" s="12"/>
    </row>
    <row r="199" spans="1:6" x14ac:dyDescent="0.35">
      <c r="A199" s="12">
        <v>44272</v>
      </c>
      <c r="B199" s="12">
        <f t="shared" si="3"/>
        <v>44256</v>
      </c>
      <c r="C199">
        <v>5.6573000000000002</v>
      </c>
      <c r="E199" s="1"/>
      <c r="F199" s="12"/>
    </row>
    <row r="200" spans="1:6" x14ac:dyDescent="0.35">
      <c r="A200" s="12">
        <v>44271</v>
      </c>
      <c r="B200" s="12">
        <f t="shared" si="3"/>
        <v>44256</v>
      </c>
      <c r="C200">
        <v>5.5845000000000002</v>
      </c>
      <c r="E200" s="1"/>
      <c r="F200" s="12"/>
    </row>
    <row r="201" spans="1:6" x14ac:dyDescent="0.35">
      <c r="A201" s="12">
        <v>44270</v>
      </c>
      <c r="B201" s="12">
        <f t="shared" si="3"/>
        <v>44256</v>
      </c>
      <c r="C201">
        <v>5.6289999999999996</v>
      </c>
      <c r="E201" s="1"/>
      <c r="F201" s="12"/>
    </row>
    <row r="202" spans="1:6" x14ac:dyDescent="0.35">
      <c r="A202" s="12">
        <v>44267</v>
      </c>
      <c r="B202" s="12">
        <f t="shared" si="3"/>
        <v>44256</v>
      </c>
      <c r="C202">
        <v>5.5633999999999997</v>
      </c>
      <c r="E202" s="1"/>
      <c r="F202" s="12"/>
    </row>
    <row r="203" spans="1:6" x14ac:dyDescent="0.35">
      <c r="A203" s="12">
        <v>44266</v>
      </c>
      <c r="B203" s="12">
        <f t="shared" si="3"/>
        <v>44256</v>
      </c>
      <c r="C203">
        <v>5.5884</v>
      </c>
      <c r="E203" s="1"/>
      <c r="F203" s="12"/>
    </row>
    <row r="204" spans="1:6" x14ac:dyDescent="0.35">
      <c r="A204" s="12">
        <v>44265</v>
      </c>
      <c r="B204" s="12">
        <f t="shared" si="3"/>
        <v>44256</v>
      </c>
      <c r="C204">
        <v>5.7443</v>
      </c>
      <c r="E204" s="1"/>
      <c r="F204" s="12"/>
    </row>
    <row r="205" spans="1:6" x14ac:dyDescent="0.35">
      <c r="A205" s="12">
        <v>44264</v>
      </c>
      <c r="B205" s="12">
        <f t="shared" si="3"/>
        <v>44256</v>
      </c>
      <c r="C205">
        <v>5.8391000000000002</v>
      </c>
      <c r="E205" s="1"/>
      <c r="F205" s="12"/>
    </row>
    <row r="206" spans="1:6" x14ac:dyDescent="0.35">
      <c r="A206" s="12">
        <v>44263</v>
      </c>
      <c r="B206" s="12">
        <f t="shared" si="3"/>
        <v>44256</v>
      </c>
      <c r="C206">
        <v>5.7336999999999998</v>
      </c>
      <c r="E206" s="1"/>
      <c r="F206" s="12"/>
    </row>
    <row r="207" spans="1:6" x14ac:dyDescent="0.35">
      <c r="A207" s="12">
        <v>44260</v>
      </c>
      <c r="B207" s="12">
        <f t="shared" si="3"/>
        <v>44256</v>
      </c>
      <c r="C207">
        <v>5.6863999999999999</v>
      </c>
      <c r="E207" s="1"/>
      <c r="F207" s="12"/>
    </row>
    <row r="208" spans="1:6" x14ac:dyDescent="0.35">
      <c r="A208" s="12">
        <v>44259</v>
      </c>
      <c r="B208" s="12">
        <f t="shared" si="3"/>
        <v>44256</v>
      </c>
      <c r="C208">
        <v>5.6002000000000001</v>
      </c>
      <c r="E208" s="1"/>
      <c r="F208" s="12"/>
    </row>
    <row r="209" spans="1:6" x14ac:dyDescent="0.35">
      <c r="A209" s="12">
        <v>44258</v>
      </c>
      <c r="B209" s="12">
        <f t="shared" si="3"/>
        <v>44256</v>
      </c>
      <c r="C209">
        <v>5.7336</v>
      </c>
      <c r="E209" s="1"/>
      <c r="F209" s="12"/>
    </row>
    <row r="210" spans="1:6" x14ac:dyDescent="0.35">
      <c r="A210" s="12">
        <v>44257</v>
      </c>
      <c r="B210" s="12">
        <f t="shared" si="3"/>
        <v>44256</v>
      </c>
      <c r="C210">
        <v>5.6837999999999997</v>
      </c>
      <c r="E210" s="1"/>
      <c r="F210" s="12"/>
    </row>
    <row r="211" spans="1:6" x14ac:dyDescent="0.35">
      <c r="A211" s="12">
        <v>44256</v>
      </c>
      <c r="B211" s="12">
        <f t="shared" si="3"/>
        <v>44256</v>
      </c>
      <c r="C211">
        <v>5.5826000000000002</v>
      </c>
      <c r="E211" s="1"/>
      <c r="F211" s="12"/>
    </row>
    <row r="212" spans="1:6" x14ac:dyDescent="0.35">
      <c r="A212" s="12">
        <v>44253</v>
      </c>
      <c r="B212" s="12">
        <f t="shared" si="3"/>
        <v>44228</v>
      </c>
      <c r="C212">
        <v>5.5296000000000003</v>
      </c>
      <c r="E212" s="1"/>
      <c r="F212" s="12"/>
    </row>
    <row r="213" spans="1:6" x14ac:dyDescent="0.35">
      <c r="A213" s="12">
        <v>44252</v>
      </c>
      <c r="B213" s="12">
        <f t="shared" si="3"/>
        <v>44228</v>
      </c>
      <c r="C213">
        <v>5.4593999999999996</v>
      </c>
      <c r="E213" s="1"/>
      <c r="F213" s="12"/>
    </row>
    <row r="214" spans="1:6" x14ac:dyDescent="0.35">
      <c r="A214" s="12">
        <v>44251</v>
      </c>
      <c r="B214" s="12">
        <f t="shared" si="3"/>
        <v>44228</v>
      </c>
      <c r="C214">
        <v>5.4176000000000002</v>
      </c>
      <c r="E214" s="1"/>
      <c r="F214" s="12"/>
    </row>
    <row r="215" spans="1:6" x14ac:dyDescent="0.35">
      <c r="A215" s="12">
        <v>44250</v>
      </c>
      <c r="B215" s="12">
        <f t="shared" si="3"/>
        <v>44228</v>
      </c>
      <c r="C215">
        <v>5.4484000000000004</v>
      </c>
      <c r="E215" s="1"/>
      <c r="F215" s="12"/>
    </row>
    <row r="216" spans="1:6" x14ac:dyDescent="0.35">
      <c r="A216" s="12">
        <v>44249</v>
      </c>
      <c r="B216" s="12">
        <f t="shared" si="3"/>
        <v>44228</v>
      </c>
      <c r="C216">
        <v>5.5038</v>
      </c>
      <c r="E216" s="1"/>
      <c r="F216" s="12"/>
    </row>
    <row r="217" spans="1:6" x14ac:dyDescent="0.35">
      <c r="A217" s="12">
        <v>44246</v>
      </c>
      <c r="B217" s="12">
        <f t="shared" si="3"/>
        <v>44228</v>
      </c>
      <c r="C217">
        <v>5.3917999999999999</v>
      </c>
      <c r="E217" s="1"/>
      <c r="F217" s="12"/>
    </row>
    <row r="218" spans="1:6" x14ac:dyDescent="0.35">
      <c r="A218" s="12">
        <v>44245</v>
      </c>
      <c r="B218" s="12">
        <f t="shared" si="3"/>
        <v>44228</v>
      </c>
      <c r="C218">
        <v>5.4231999999999996</v>
      </c>
      <c r="E218" s="1"/>
      <c r="F218" s="12"/>
    </row>
    <row r="219" spans="1:6" x14ac:dyDescent="0.35">
      <c r="A219" s="12">
        <v>44244</v>
      </c>
      <c r="B219" s="12">
        <f t="shared" si="3"/>
        <v>44228</v>
      </c>
      <c r="C219">
        <v>5.4131999999999998</v>
      </c>
      <c r="E219" s="1"/>
      <c r="F219" s="12"/>
    </row>
    <row r="220" spans="1:6" x14ac:dyDescent="0.35">
      <c r="A220" s="12">
        <v>44239</v>
      </c>
      <c r="B220" s="12">
        <f t="shared" si="3"/>
        <v>44228</v>
      </c>
      <c r="C220">
        <v>5.3808999999999996</v>
      </c>
      <c r="E220" s="1"/>
      <c r="F220" s="12"/>
    </row>
    <row r="221" spans="1:6" x14ac:dyDescent="0.35">
      <c r="A221" s="12">
        <v>44238</v>
      </c>
      <c r="B221" s="12">
        <f t="shared" si="3"/>
        <v>44228</v>
      </c>
      <c r="C221">
        <v>5.3620000000000001</v>
      </c>
      <c r="E221" s="1"/>
      <c r="F221" s="12"/>
    </row>
    <row r="222" spans="1:6" x14ac:dyDescent="0.35">
      <c r="A222" s="12">
        <v>44237</v>
      </c>
      <c r="B222" s="12">
        <f t="shared" si="3"/>
        <v>44228</v>
      </c>
      <c r="C222">
        <v>5.4017999999999997</v>
      </c>
      <c r="E222" s="1"/>
      <c r="F222" s="12"/>
    </row>
    <row r="223" spans="1:6" x14ac:dyDescent="0.35">
      <c r="A223" s="12">
        <v>44236</v>
      </c>
      <c r="B223" s="12">
        <f t="shared" si="3"/>
        <v>44228</v>
      </c>
      <c r="C223">
        <v>5.4210000000000003</v>
      </c>
      <c r="E223" s="1"/>
      <c r="F223" s="12"/>
    </row>
    <row r="224" spans="1:6" x14ac:dyDescent="0.35">
      <c r="A224" s="12">
        <v>44235</v>
      </c>
      <c r="B224" s="12">
        <f t="shared" si="3"/>
        <v>44228</v>
      </c>
      <c r="C224">
        <v>5.3663999999999996</v>
      </c>
      <c r="E224" s="1"/>
      <c r="F224" s="12"/>
    </row>
    <row r="225" spans="1:6" x14ac:dyDescent="0.35">
      <c r="A225" s="12">
        <v>44232</v>
      </c>
      <c r="B225" s="12">
        <f t="shared" si="3"/>
        <v>44228</v>
      </c>
      <c r="C225">
        <v>5.3878000000000004</v>
      </c>
      <c r="E225" s="1"/>
      <c r="F225" s="12"/>
    </row>
    <row r="226" spans="1:6" x14ac:dyDescent="0.35">
      <c r="A226" s="12">
        <v>44231</v>
      </c>
      <c r="B226" s="12">
        <f t="shared" si="3"/>
        <v>44228</v>
      </c>
      <c r="C226">
        <v>5.3903999999999996</v>
      </c>
      <c r="E226" s="1"/>
      <c r="F226" s="12"/>
    </row>
    <row r="227" spans="1:6" x14ac:dyDescent="0.35">
      <c r="A227" s="12">
        <v>44230</v>
      </c>
      <c r="B227" s="12">
        <f t="shared" si="3"/>
        <v>44228</v>
      </c>
      <c r="C227">
        <v>5.3417000000000003</v>
      </c>
      <c r="E227" s="1"/>
      <c r="F227" s="12"/>
    </row>
    <row r="228" spans="1:6" x14ac:dyDescent="0.35">
      <c r="A228" s="12">
        <v>44229</v>
      </c>
      <c r="B228" s="12">
        <f t="shared" si="3"/>
        <v>44228</v>
      </c>
      <c r="C228">
        <v>5.3868999999999998</v>
      </c>
      <c r="E228" s="1"/>
      <c r="F228" s="12"/>
    </row>
    <row r="229" spans="1:6" x14ac:dyDescent="0.35">
      <c r="A229" s="12">
        <v>44228</v>
      </c>
      <c r="B229" s="12">
        <f t="shared" si="3"/>
        <v>44228</v>
      </c>
      <c r="C229">
        <v>5.4602000000000004</v>
      </c>
      <c r="E229" s="1"/>
      <c r="F229" s="12"/>
    </row>
    <row r="230" spans="1:6" x14ac:dyDescent="0.35">
      <c r="A230" s="12">
        <v>44225</v>
      </c>
      <c r="B230" s="12">
        <f t="shared" si="3"/>
        <v>44197</v>
      </c>
      <c r="C230">
        <v>5.4752999999999998</v>
      </c>
      <c r="E230" s="1"/>
      <c r="F230" s="12"/>
    </row>
    <row r="231" spans="1:6" x14ac:dyDescent="0.35">
      <c r="A231" s="12">
        <v>44224</v>
      </c>
      <c r="B231" s="12">
        <f t="shared" si="3"/>
        <v>44197</v>
      </c>
      <c r="C231">
        <v>5.4276</v>
      </c>
      <c r="E231" s="1"/>
      <c r="F231" s="12"/>
    </row>
    <row r="232" spans="1:6" x14ac:dyDescent="0.35">
      <c r="A232" s="12">
        <v>44223</v>
      </c>
      <c r="B232" s="12">
        <f t="shared" si="3"/>
        <v>44197</v>
      </c>
      <c r="C232">
        <v>5.3818000000000001</v>
      </c>
      <c r="E232" s="1"/>
      <c r="F232" s="12"/>
    </row>
    <row r="233" spans="1:6" x14ac:dyDescent="0.35">
      <c r="A233" s="12">
        <v>44222</v>
      </c>
      <c r="B233" s="12">
        <f t="shared" si="3"/>
        <v>44197</v>
      </c>
      <c r="C233">
        <v>5.3859000000000004</v>
      </c>
      <c r="E233" s="1"/>
      <c r="F233" s="12"/>
    </row>
    <row r="234" spans="1:6" x14ac:dyDescent="0.35">
      <c r="A234" s="12">
        <v>44221</v>
      </c>
      <c r="B234" s="12">
        <f t="shared" si="3"/>
        <v>44197</v>
      </c>
      <c r="C234">
        <v>5.5073999999999996</v>
      </c>
      <c r="E234" s="1"/>
      <c r="F234" s="12"/>
    </row>
    <row r="235" spans="1:6" x14ac:dyDescent="0.35">
      <c r="A235" s="12">
        <v>44218</v>
      </c>
      <c r="B235" s="12">
        <f t="shared" si="3"/>
        <v>44197</v>
      </c>
      <c r="C235">
        <v>5.4295</v>
      </c>
      <c r="E235" s="1"/>
      <c r="F235" s="12"/>
    </row>
    <row r="236" spans="1:6" x14ac:dyDescent="0.35">
      <c r="A236" s="12">
        <v>44217</v>
      </c>
      <c r="B236" s="12">
        <f t="shared" si="3"/>
        <v>44197</v>
      </c>
      <c r="C236">
        <v>5.3159999999999998</v>
      </c>
      <c r="E236" s="1"/>
      <c r="F236" s="12"/>
    </row>
    <row r="237" spans="1:6" x14ac:dyDescent="0.35">
      <c r="A237" s="12">
        <v>44216</v>
      </c>
      <c r="B237" s="12">
        <f t="shared" si="3"/>
        <v>44197</v>
      </c>
      <c r="C237">
        <v>5.3026999999999997</v>
      </c>
      <c r="E237" s="1"/>
      <c r="F237" s="12"/>
    </row>
    <row r="238" spans="1:6" x14ac:dyDescent="0.35">
      <c r="A238" s="12">
        <v>44215</v>
      </c>
      <c r="B238" s="12">
        <f t="shared" si="3"/>
        <v>44197</v>
      </c>
      <c r="C238">
        <v>5.2938999999999998</v>
      </c>
      <c r="E238" s="1"/>
      <c r="F238" s="12"/>
    </row>
    <row r="239" spans="1:6" x14ac:dyDescent="0.35">
      <c r="A239" s="12">
        <v>44214</v>
      </c>
      <c r="B239" s="12">
        <f t="shared" si="3"/>
        <v>44197</v>
      </c>
      <c r="C239">
        <v>5.2782</v>
      </c>
      <c r="E239" s="1"/>
      <c r="F239" s="12"/>
    </row>
    <row r="240" spans="1:6" x14ac:dyDescent="0.35">
      <c r="A240" s="12">
        <v>44211</v>
      </c>
      <c r="B240" s="12">
        <f t="shared" si="3"/>
        <v>44197</v>
      </c>
      <c r="C240">
        <v>5.2708000000000004</v>
      </c>
      <c r="E240" s="1"/>
      <c r="F240" s="12"/>
    </row>
    <row r="241" spans="1:6" x14ac:dyDescent="0.35">
      <c r="A241" s="12">
        <v>44210</v>
      </c>
      <c r="B241" s="12">
        <f t="shared" si="3"/>
        <v>44197</v>
      </c>
      <c r="C241">
        <v>5.2610999999999999</v>
      </c>
      <c r="E241" s="1"/>
      <c r="F241" s="12"/>
    </row>
    <row r="242" spans="1:6" x14ac:dyDescent="0.35">
      <c r="A242" s="12">
        <v>44209</v>
      </c>
      <c r="B242" s="12">
        <f t="shared" si="3"/>
        <v>44197</v>
      </c>
      <c r="C242">
        <v>5.3064</v>
      </c>
      <c r="E242" s="1"/>
      <c r="F242" s="12"/>
    </row>
    <row r="243" spans="1:6" x14ac:dyDescent="0.35">
      <c r="A243" s="12">
        <v>44208</v>
      </c>
      <c r="B243" s="12">
        <f t="shared" si="3"/>
        <v>44197</v>
      </c>
      <c r="C243">
        <v>5.4630999999999998</v>
      </c>
      <c r="E243" s="1"/>
      <c r="F243" s="12"/>
    </row>
    <row r="244" spans="1:6" x14ac:dyDescent="0.35">
      <c r="A244" s="12">
        <v>44207</v>
      </c>
      <c r="B244" s="12">
        <f t="shared" si="3"/>
        <v>44197</v>
      </c>
      <c r="C244">
        <v>5.4960000000000004</v>
      </c>
      <c r="E244" s="1"/>
      <c r="F244" s="12"/>
    </row>
    <row r="245" spans="1:6" x14ac:dyDescent="0.35">
      <c r="A245" s="12">
        <v>44204</v>
      </c>
      <c r="B245" s="12">
        <f t="shared" si="3"/>
        <v>44197</v>
      </c>
      <c r="C245">
        <v>5.3677000000000001</v>
      </c>
      <c r="E245" s="1"/>
      <c r="F245" s="12"/>
    </row>
    <row r="246" spans="1:6" x14ac:dyDescent="0.35">
      <c r="A246" s="12">
        <v>44203</v>
      </c>
      <c r="B246" s="12">
        <f t="shared" si="3"/>
        <v>44197</v>
      </c>
      <c r="C246">
        <v>5.3426999999999998</v>
      </c>
      <c r="E246" s="1"/>
      <c r="F246" s="12"/>
    </row>
    <row r="247" spans="1:6" x14ac:dyDescent="0.35">
      <c r="A247" s="12">
        <v>44202</v>
      </c>
      <c r="B247" s="12">
        <f t="shared" si="3"/>
        <v>44197</v>
      </c>
      <c r="C247">
        <v>5.3175999999999997</v>
      </c>
      <c r="E247" s="1"/>
      <c r="F247" s="12"/>
    </row>
    <row r="248" spans="1:6" x14ac:dyDescent="0.35">
      <c r="A248" s="12">
        <v>44201</v>
      </c>
      <c r="B248" s="12">
        <f t="shared" si="3"/>
        <v>44197</v>
      </c>
      <c r="C248">
        <v>5.3262999999999998</v>
      </c>
      <c r="E248" s="1"/>
      <c r="F248" s="12"/>
    </row>
    <row r="249" spans="1:6" x14ac:dyDescent="0.35">
      <c r="A249" s="12">
        <v>44200</v>
      </c>
      <c r="B249" s="12">
        <f t="shared" si="3"/>
        <v>44197</v>
      </c>
      <c r="C249">
        <v>5.1619999999999999</v>
      </c>
      <c r="E249" s="1"/>
      <c r="F249" s="12"/>
    </row>
    <row r="250" spans="1:6" x14ac:dyDescent="0.35">
      <c r="A250" s="12">
        <v>44196</v>
      </c>
      <c r="B250" s="12">
        <f t="shared" si="3"/>
        <v>44166</v>
      </c>
      <c r="C250">
        <v>5.1961000000000004</v>
      </c>
      <c r="E250" s="1"/>
      <c r="F250" s="12"/>
    </row>
    <row r="251" spans="1:6" x14ac:dyDescent="0.35">
      <c r="A251" s="12">
        <v>44195</v>
      </c>
      <c r="B251" s="12">
        <f t="shared" si="3"/>
        <v>44166</v>
      </c>
      <c r="C251">
        <v>5.1961000000000004</v>
      </c>
      <c r="E251" s="1"/>
      <c r="F251" s="12"/>
    </row>
    <row r="252" spans="1:6" x14ac:dyDescent="0.35">
      <c r="A252" s="12">
        <v>44194</v>
      </c>
      <c r="B252" s="12">
        <f t="shared" si="3"/>
        <v>44166</v>
      </c>
      <c r="C252">
        <v>5.1936</v>
      </c>
      <c r="E252" s="1"/>
      <c r="F252" s="12"/>
    </row>
    <row r="253" spans="1:6" x14ac:dyDescent="0.35">
      <c r="A253" s="12">
        <v>44193</v>
      </c>
      <c r="B253" s="12">
        <f t="shared" si="3"/>
        <v>44166</v>
      </c>
      <c r="C253">
        <v>5.2384000000000004</v>
      </c>
      <c r="E253" s="1"/>
      <c r="F253" s="12"/>
    </row>
    <row r="254" spans="1:6" x14ac:dyDescent="0.35">
      <c r="A254" s="12">
        <v>44189</v>
      </c>
      <c r="B254" s="12">
        <f t="shared" si="3"/>
        <v>44166</v>
      </c>
      <c r="C254">
        <v>5.1784999999999997</v>
      </c>
      <c r="E254" s="1"/>
      <c r="F254" s="12"/>
    </row>
    <row r="255" spans="1:6" x14ac:dyDescent="0.35">
      <c r="A255" s="12">
        <v>44188</v>
      </c>
      <c r="B255" s="12">
        <f t="shared" si="3"/>
        <v>44166</v>
      </c>
      <c r="C255">
        <v>5.1734</v>
      </c>
      <c r="E255" s="1"/>
      <c r="F255" s="12"/>
    </row>
    <row r="256" spans="1:6" x14ac:dyDescent="0.35">
      <c r="A256" s="12">
        <v>44187</v>
      </c>
      <c r="B256" s="12">
        <f t="shared" si="3"/>
        <v>44166</v>
      </c>
      <c r="C256">
        <v>5.1467000000000001</v>
      </c>
      <c r="E256" s="1"/>
      <c r="F256" s="12"/>
    </row>
    <row r="257" spans="1:6" x14ac:dyDescent="0.35">
      <c r="A257" s="12">
        <v>44186</v>
      </c>
      <c r="B257" s="12">
        <f t="shared" si="3"/>
        <v>44166</v>
      </c>
      <c r="C257">
        <v>5.1566000000000001</v>
      </c>
      <c r="E257" s="1"/>
      <c r="F257" s="12"/>
    </row>
    <row r="258" spans="1:6" x14ac:dyDescent="0.35">
      <c r="A258" s="12">
        <v>44183</v>
      </c>
      <c r="B258" s="12">
        <f t="shared" si="3"/>
        <v>44166</v>
      </c>
      <c r="C258">
        <v>5.0979999999999999</v>
      </c>
      <c r="E258" s="1"/>
      <c r="F258" s="12"/>
    </row>
    <row r="259" spans="1:6" x14ac:dyDescent="0.35">
      <c r="A259" s="12">
        <v>44182</v>
      </c>
      <c r="B259" s="12">
        <f t="shared" ref="B259:B322" si="4">DATE(YEAR(A259),MONTH(A259),DAY(1))</f>
        <v>44166</v>
      </c>
      <c r="C259">
        <v>5.0606</v>
      </c>
      <c r="E259" s="1"/>
      <c r="F259" s="12"/>
    </row>
    <row r="260" spans="1:6" x14ac:dyDescent="0.35">
      <c r="A260" s="12">
        <v>44181</v>
      </c>
      <c r="B260" s="12">
        <f t="shared" si="4"/>
        <v>44166</v>
      </c>
      <c r="C260">
        <v>5.1051000000000002</v>
      </c>
      <c r="E260" s="1"/>
      <c r="F260" s="12"/>
    </row>
    <row r="261" spans="1:6" x14ac:dyDescent="0.35">
      <c r="A261" s="12">
        <v>44180</v>
      </c>
      <c r="B261" s="12">
        <f t="shared" si="4"/>
        <v>44166</v>
      </c>
      <c r="C261">
        <v>5.0961999999999996</v>
      </c>
      <c r="E261" s="1"/>
      <c r="F261" s="12"/>
    </row>
    <row r="262" spans="1:6" x14ac:dyDescent="0.35">
      <c r="A262" s="12">
        <v>44179</v>
      </c>
      <c r="B262" s="12">
        <f t="shared" si="4"/>
        <v>44166</v>
      </c>
      <c r="C262">
        <v>5.0571999999999999</v>
      </c>
      <c r="E262" s="1"/>
      <c r="F262" s="12"/>
    </row>
    <row r="263" spans="1:6" x14ac:dyDescent="0.35">
      <c r="A263" s="12">
        <v>44176</v>
      </c>
      <c r="B263" s="12">
        <f t="shared" si="4"/>
        <v>44166</v>
      </c>
      <c r="C263">
        <v>5.0685000000000002</v>
      </c>
      <c r="E263" s="1"/>
      <c r="F263" s="12"/>
    </row>
    <row r="264" spans="1:6" x14ac:dyDescent="0.35">
      <c r="A264" s="12">
        <v>44175</v>
      </c>
      <c r="B264" s="12">
        <f t="shared" si="4"/>
        <v>44166</v>
      </c>
      <c r="C264">
        <v>5.0846</v>
      </c>
      <c r="E264" s="1"/>
      <c r="F264" s="12"/>
    </row>
    <row r="265" spans="1:6" x14ac:dyDescent="0.35">
      <c r="A265" s="12">
        <v>44174</v>
      </c>
      <c r="B265" s="12">
        <f t="shared" si="4"/>
        <v>44166</v>
      </c>
      <c r="C265">
        <v>5.1102999999999996</v>
      </c>
      <c r="E265" s="1"/>
      <c r="F265" s="12"/>
    </row>
    <row r="266" spans="1:6" x14ac:dyDescent="0.35">
      <c r="A266" s="12">
        <v>44173</v>
      </c>
      <c r="B266" s="12">
        <f t="shared" si="4"/>
        <v>44166</v>
      </c>
      <c r="C266">
        <v>5.0914000000000001</v>
      </c>
      <c r="E266" s="1"/>
      <c r="F266" s="12"/>
    </row>
    <row r="267" spans="1:6" x14ac:dyDescent="0.35">
      <c r="A267" s="12">
        <v>44172</v>
      </c>
      <c r="B267" s="12">
        <f t="shared" si="4"/>
        <v>44166</v>
      </c>
      <c r="C267">
        <v>5.1012000000000004</v>
      </c>
      <c r="E267" s="1"/>
      <c r="F267" s="12"/>
    </row>
    <row r="268" spans="1:6" x14ac:dyDescent="0.35">
      <c r="A268" s="12">
        <v>44169</v>
      </c>
      <c r="B268" s="12">
        <f t="shared" si="4"/>
        <v>44166</v>
      </c>
      <c r="C268">
        <v>5.17</v>
      </c>
      <c r="E268" s="1"/>
      <c r="F268" s="12"/>
    </row>
    <row r="269" spans="1:6" x14ac:dyDescent="0.35">
      <c r="A269" s="12">
        <v>44168</v>
      </c>
      <c r="B269" s="12">
        <f t="shared" si="4"/>
        <v>44166</v>
      </c>
      <c r="C269">
        <v>5.1619000000000002</v>
      </c>
      <c r="E269" s="1"/>
      <c r="F269" s="12"/>
    </row>
    <row r="270" spans="1:6" x14ac:dyDescent="0.35">
      <c r="A270" s="12">
        <v>44167</v>
      </c>
      <c r="B270" s="12">
        <f t="shared" si="4"/>
        <v>44166</v>
      </c>
      <c r="C270">
        <v>5.2260999999999997</v>
      </c>
      <c r="E270" s="1"/>
      <c r="F270" s="12"/>
    </row>
    <row r="271" spans="1:6" x14ac:dyDescent="0.35">
      <c r="A271" s="12">
        <v>44166</v>
      </c>
      <c r="B271" s="12">
        <f t="shared" si="4"/>
        <v>44166</v>
      </c>
      <c r="C271">
        <v>5.2782999999999998</v>
      </c>
      <c r="E271" s="1"/>
      <c r="F271" s="12"/>
    </row>
    <row r="272" spans="1:6" x14ac:dyDescent="0.35">
      <c r="A272" s="12">
        <v>44165</v>
      </c>
      <c r="B272" s="12">
        <f t="shared" si="4"/>
        <v>44136</v>
      </c>
      <c r="C272">
        <v>5.3311000000000002</v>
      </c>
      <c r="E272" s="1"/>
      <c r="F272" s="12"/>
    </row>
    <row r="273" spans="1:6" x14ac:dyDescent="0.35">
      <c r="A273" s="12">
        <v>44162</v>
      </c>
      <c r="B273" s="12">
        <f t="shared" si="4"/>
        <v>44136</v>
      </c>
      <c r="C273">
        <v>5.3487999999999998</v>
      </c>
      <c r="E273" s="1"/>
      <c r="F273" s="12"/>
    </row>
    <row r="274" spans="1:6" x14ac:dyDescent="0.35">
      <c r="A274" s="12">
        <v>44161</v>
      </c>
      <c r="B274" s="12">
        <f t="shared" si="4"/>
        <v>44136</v>
      </c>
      <c r="C274">
        <v>5.3194999999999997</v>
      </c>
      <c r="E274" s="1"/>
      <c r="F274" s="12"/>
    </row>
    <row r="275" spans="1:6" x14ac:dyDescent="0.35">
      <c r="A275" s="12">
        <v>44160</v>
      </c>
      <c r="B275" s="12">
        <f t="shared" si="4"/>
        <v>44136</v>
      </c>
      <c r="C275">
        <v>5.3502000000000001</v>
      </c>
      <c r="E275" s="1"/>
      <c r="F275" s="12"/>
    </row>
    <row r="276" spans="1:6" x14ac:dyDescent="0.35">
      <c r="A276" s="12">
        <v>44159</v>
      </c>
      <c r="B276" s="12">
        <f t="shared" si="4"/>
        <v>44136</v>
      </c>
      <c r="C276">
        <v>5.4031000000000002</v>
      </c>
      <c r="E276" s="1"/>
      <c r="F276" s="12"/>
    </row>
    <row r="277" spans="1:6" x14ac:dyDescent="0.35">
      <c r="A277" s="12">
        <v>44158</v>
      </c>
      <c r="B277" s="12">
        <f t="shared" si="4"/>
        <v>44136</v>
      </c>
      <c r="C277">
        <v>5.3822000000000001</v>
      </c>
      <c r="E277" s="1"/>
      <c r="F277" s="12"/>
    </row>
    <row r="278" spans="1:6" x14ac:dyDescent="0.35">
      <c r="A278" s="12">
        <v>44155</v>
      </c>
      <c r="B278" s="12">
        <f t="shared" si="4"/>
        <v>44136</v>
      </c>
      <c r="C278">
        <v>5.3498999999999999</v>
      </c>
      <c r="E278" s="1"/>
      <c r="F278" s="12"/>
    </row>
    <row r="279" spans="1:6" x14ac:dyDescent="0.35">
      <c r="A279" s="12">
        <v>44154</v>
      </c>
      <c r="B279" s="12">
        <f t="shared" si="4"/>
        <v>44136</v>
      </c>
      <c r="C279">
        <v>5.3323999999999998</v>
      </c>
      <c r="E279" s="1"/>
      <c r="F279" s="12"/>
    </row>
    <row r="280" spans="1:6" x14ac:dyDescent="0.35">
      <c r="A280" s="12">
        <v>44153</v>
      </c>
      <c r="B280" s="12">
        <f t="shared" si="4"/>
        <v>44136</v>
      </c>
      <c r="C280">
        <v>5.2926000000000002</v>
      </c>
      <c r="E280" s="1"/>
      <c r="F280" s="12"/>
    </row>
    <row r="281" spans="1:6" x14ac:dyDescent="0.35">
      <c r="A281" s="12">
        <v>44152</v>
      </c>
      <c r="B281" s="12">
        <f t="shared" si="4"/>
        <v>44136</v>
      </c>
      <c r="C281">
        <v>5.3962000000000003</v>
      </c>
      <c r="E281" s="1"/>
      <c r="F281" s="12"/>
    </row>
    <row r="282" spans="1:6" x14ac:dyDescent="0.35">
      <c r="A282" s="12">
        <v>44151</v>
      </c>
      <c r="B282" s="12">
        <f t="shared" si="4"/>
        <v>44136</v>
      </c>
      <c r="C282">
        <v>5.4192</v>
      </c>
      <c r="E282" s="1"/>
      <c r="F282" s="12"/>
    </row>
    <row r="283" spans="1:6" x14ac:dyDescent="0.35">
      <c r="A283" s="12">
        <v>44148</v>
      </c>
      <c r="B283" s="12">
        <f t="shared" si="4"/>
        <v>44136</v>
      </c>
      <c r="C283">
        <v>5.4847999999999999</v>
      </c>
      <c r="E283" s="1"/>
      <c r="F283" s="12"/>
    </row>
    <row r="284" spans="1:6" x14ac:dyDescent="0.35">
      <c r="A284" s="12">
        <v>44147</v>
      </c>
      <c r="B284" s="12">
        <f t="shared" si="4"/>
        <v>44136</v>
      </c>
      <c r="C284">
        <v>5.4088000000000003</v>
      </c>
      <c r="E284" s="1"/>
      <c r="F284" s="12"/>
    </row>
    <row r="285" spans="1:6" x14ac:dyDescent="0.35">
      <c r="A285" s="12">
        <v>44146</v>
      </c>
      <c r="B285" s="12">
        <f t="shared" si="4"/>
        <v>44136</v>
      </c>
      <c r="C285">
        <v>5.4013999999999998</v>
      </c>
      <c r="E285" s="1"/>
      <c r="F285" s="12"/>
    </row>
    <row r="286" spans="1:6" x14ac:dyDescent="0.35">
      <c r="A286" s="12">
        <v>44145</v>
      </c>
      <c r="B286" s="12">
        <f t="shared" si="4"/>
        <v>44136</v>
      </c>
      <c r="C286">
        <v>5.3689999999999998</v>
      </c>
      <c r="E286" s="1"/>
      <c r="F286" s="12"/>
    </row>
    <row r="287" spans="1:6" x14ac:dyDescent="0.35">
      <c r="A287" s="12">
        <v>44144</v>
      </c>
      <c r="B287" s="12">
        <f t="shared" si="4"/>
        <v>44136</v>
      </c>
      <c r="C287">
        <v>5.2815000000000003</v>
      </c>
      <c r="E287" s="1"/>
      <c r="F287" s="12"/>
    </row>
    <row r="288" spans="1:6" x14ac:dyDescent="0.35">
      <c r="A288" s="12">
        <v>44141</v>
      </c>
      <c r="B288" s="12">
        <f t="shared" si="4"/>
        <v>44136</v>
      </c>
      <c r="C288">
        <v>5.5307000000000004</v>
      </c>
      <c r="E288" s="1"/>
      <c r="F288" s="12"/>
    </row>
    <row r="289" spans="1:6" x14ac:dyDescent="0.35">
      <c r="A289" s="12">
        <v>44140</v>
      </c>
      <c r="B289" s="12">
        <f t="shared" si="4"/>
        <v>44136</v>
      </c>
      <c r="C289">
        <v>5.5617999999999999</v>
      </c>
      <c r="E289" s="1"/>
      <c r="F289" s="12"/>
    </row>
    <row r="290" spans="1:6" x14ac:dyDescent="0.35">
      <c r="A290" s="12">
        <v>44139</v>
      </c>
      <c r="B290" s="12">
        <f t="shared" si="4"/>
        <v>44136</v>
      </c>
      <c r="C290">
        <v>5.6925999999999997</v>
      </c>
      <c r="E290" s="1"/>
      <c r="F290" s="12"/>
    </row>
    <row r="291" spans="1:6" x14ac:dyDescent="0.35">
      <c r="A291" s="12">
        <v>44138</v>
      </c>
      <c r="B291" s="12">
        <f t="shared" si="4"/>
        <v>44136</v>
      </c>
      <c r="C291">
        <v>5.6889000000000003</v>
      </c>
      <c r="E291" s="1"/>
      <c r="F291" s="12"/>
    </row>
    <row r="292" spans="1:6" x14ac:dyDescent="0.35">
      <c r="A292" s="12">
        <v>44134</v>
      </c>
      <c r="B292" s="12">
        <f t="shared" si="4"/>
        <v>44105</v>
      </c>
      <c r="C292">
        <v>5.7712000000000003</v>
      </c>
      <c r="E292" s="1"/>
      <c r="F292" s="12"/>
    </row>
    <row r="293" spans="1:6" x14ac:dyDescent="0.35">
      <c r="A293" s="12">
        <v>44133</v>
      </c>
      <c r="B293" s="12">
        <f t="shared" si="4"/>
        <v>44105</v>
      </c>
      <c r="C293">
        <v>5.7797000000000001</v>
      </c>
      <c r="E293" s="1"/>
      <c r="F293" s="12"/>
    </row>
    <row r="294" spans="1:6" x14ac:dyDescent="0.35">
      <c r="A294" s="12">
        <v>44132</v>
      </c>
      <c r="B294" s="12">
        <f t="shared" si="4"/>
        <v>44105</v>
      </c>
      <c r="C294">
        <v>5.7319000000000004</v>
      </c>
      <c r="E294" s="1"/>
      <c r="F294" s="12"/>
    </row>
    <row r="295" spans="1:6" x14ac:dyDescent="0.35">
      <c r="A295" s="12">
        <v>44131</v>
      </c>
      <c r="B295" s="12">
        <f t="shared" si="4"/>
        <v>44105</v>
      </c>
      <c r="C295">
        <v>5.6483999999999996</v>
      </c>
      <c r="E295" s="1"/>
      <c r="F295" s="12"/>
    </row>
    <row r="296" spans="1:6" x14ac:dyDescent="0.35">
      <c r="A296" s="12">
        <v>44130</v>
      </c>
      <c r="B296" s="12">
        <f t="shared" si="4"/>
        <v>44105</v>
      </c>
      <c r="C296">
        <v>5.6322000000000001</v>
      </c>
      <c r="E296" s="1"/>
      <c r="F296" s="12"/>
    </row>
    <row r="297" spans="1:6" x14ac:dyDescent="0.35">
      <c r="A297" s="12">
        <v>44127</v>
      </c>
      <c r="B297" s="12">
        <f t="shared" si="4"/>
        <v>44105</v>
      </c>
      <c r="C297">
        <v>5.6113999999999997</v>
      </c>
      <c r="E297" s="1"/>
      <c r="F297" s="12"/>
    </row>
    <row r="298" spans="1:6" x14ac:dyDescent="0.35">
      <c r="A298" s="12">
        <v>44126</v>
      </c>
      <c r="B298" s="12">
        <f t="shared" si="4"/>
        <v>44105</v>
      </c>
      <c r="C298">
        <v>5.5814000000000004</v>
      </c>
      <c r="E298" s="1"/>
      <c r="F298" s="12"/>
    </row>
    <row r="299" spans="1:6" x14ac:dyDescent="0.35">
      <c r="A299" s="12">
        <v>44125</v>
      </c>
      <c r="B299" s="12">
        <f t="shared" si="4"/>
        <v>44105</v>
      </c>
      <c r="C299">
        <v>5.6</v>
      </c>
      <c r="E299" s="1"/>
      <c r="F299" s="12"/>
    </row>
    <row r="300" spans="1:6" x14ac:dyDescent="0.35">
      <c r="A300" s="12">
        <v>44124</v>
      </c>
      <c r="B300" s="12">
        <f t="shared" si="4"/>
        <v>44105</v>
      </c>
      <c r="C300">
        <v>5.5823999999999998</v>
      </c>
      <c r="E300" s="1"/>
      <c r="F300" s="12"/>
    </row>
    <row r="301" spans="1:6" x14ac:dyDescent="0.35">
      <c r="A301" s="12">
        <v>44123</v>
      </c>
      <c r="B301" s="12">
        <f t="shared" si="4"/>
        <v>44105</v>
      </c>
      <c r="C301">
        <v>5.6017000000000001</v>
      </c>
      <c r="E301" s="1"/>
      <c r="F301" s="12"/>
    </row>
    <row r="302" spans="1:6" x14ac:dyDescent="0.35">
      <c r="A302" s="12">
        <v>44120</v>
      </c>
      <c r="B302" s="12">
        <f t="shared" si="4"/>
        <v>44105</v>
      </c>
      <c r="C302">
        <v>5.6219999999999999</v>
      </c>
      <c r="E302" s="1"/>
      <c r="F302" s="12"/>
    </row>
    <row r="303" spans="1:6" x14ac:dyDescent="0.35">
      <c r="A303" s="12">
        <v>44119</v>
      </c>
      <c r="B303" s="12">
        <f t="shared" si="4"/>
        <v>44105</v>
      </c>
      <c r="C303">
        <v>5.6166</v>
      </c>
      <c r="E303" s="1"/>
      <c r="F303" s="12"/>
    </row>
    <row r="304" spans="1:6" x14ac:dyDescent="0.35">
      <c r="A304" s="12">
        <v>44118</v>
      </c>
      <c r="B304" s="12">
        <f t="shared" si="4"/>
        <v>44105</v>
      </c>
      <c r="C304">
        <v>5.5669000000000004</v>
      </c>
      <c r="E304" s="1"/>
      <c r="F304" s="12"/>
    </row>
    <row r="305" spans="1:6" x14ac:dyDescent="0.35">
      <c r="A305" s="12">
        <v>44117</v>
      </c>
      <c r="B305" s="12">
        <f t="shared" si="4"/>
        <v>44105</v>
      </c>
      <c r="C305">
        <v>5.5853999999999999</v>
      </c>
      <c r="E305" s="1"/>
      <c r="F305" s="12"/>
    </row>
    <row r="306" spans="1:6" x14ac:dyDescent="0.35">
      <c r="A306" s="12">
        <v>44113</v>
      </c>
      <c r="B306" s="12">
        <f t="shared" si="4"/>
        <v>44105</v>
      </c>
      <c r="C306">
        <v>5.5387000000000004</v>
      </c>
      <c r="E306" s="1"/>
      <c r="F306" s="12"/>
    </row>
    <row r="307" spans="1:6" x14ac:dyDescent="0.35">
      <c r="A307" s="12">
        <v>44112</v>
      </c>
      <c r="B307" s="12">
        <f t="shared" si="4"/>
        <v>44105</v>
      </c>
      <c r="C307">
        <v>5.6193999999999997</v>
      </c>
      <c r="E307" s="1"/>
      <c r="F307" s="12"/>
    </row>
    <row r="308" spans="1:6" x14ac:dyDescent="0.35">
      <c r="A308" s="12">
        <v>44111</v>
      </c>
      <c r="B308" s="12">
        <f t="shared" si="4"/>
        <v>44105</v>
      </c>
      <c r="C308">
        <v>5.6012000000000004</v>
      </c>
      <c r="E308" s="1"/>
      <c r="F308" s="12"/>
    </row>
    <row r="309" spans="1:6" x14ac:dyDescent="0.35">
      <c r="A309" s="12">
        <v>44110</v>
      </c>
      <c r="B309" s="12">
        <f t="shared" si="4"/>
        <v>44105</v>
      </c>
      <c r="C309">
        <v>5.5198999999999998</v>
      </c>
      <c r="E309" s="1"/>
      <c r="F309" s="12"/>
    </row>
    <row r="310" spans="1:6" x14ac:dyDescent="0.35">
      <c r="A310" s="12">
        <v>44109</v>
      </c>
      <c r="B310" s="12">
        <f t="shared" si="4"/>
        <v>44105</v>
      </c>
      <c r="C310">
        <v>5.6292999999999997</v>
      </c>
      <c r="E310" s="1"/>
      <c r="F310" s="12"/>
    </row>
    <row r="311" spans="1:6" x14ac:dyDescent="0.35">
      <c r="A311" s="12">
        <v>44106</v>
      </c>
      <c r="B311" s="12">
        <f t="shared" si="4"/>
        <v>44105</v>
      </c>
      <c r="C311">
        <v>5.6458000000000004</v>
      </c>
      <c r="E311" s="1"/>
      <c r="F311" s="12"/>
    </row>
    <row r="312" spans="1:6" x14ac:dyDescent="0.35">
      <c r="A312" s="12">
        <v>44105</v>
      </c>
      <c r="B312" s="12">
        <f t="shared" si="4"/>
        <v>44105</v>
      </c>
      <c r="C312">
        <v>5.6435000000000004</v>
      </c>
      <c r="E312" s="1"/>
      <c r="F312" s="12"/>
    </row>
    <row r="313" spans="1:6" x14ac:dyDescent="0.35">
      <c r="A313" s="12">
        <v>44104</v>
      </c>
      <c r="B313" s="12">
        <f t="shared" si="4"/>
        <v>44075</v>
      </c>
      <c r="C313">
        <v>5.6401000000000003</v>
      </c>
      <c r="E313" s="1"/>
      <c r="F313" s="12"/>
    </row>
    <row r="314" spans="1:6" x14ac:dyDescent="0.35">
      <c r="A314" s="12">
        <v>44103</v>
      </c>
      <c r="B314" s="12">
        <f t="shared" si="4"/>
        <v>44075</v>
      </c>
      <c r="C314">
        <v>5.6520999999999999</v>
      </c>
      <c r="E314" s="1"/>
      <c r="F314" s="12"/>
    </row>
    <row r="315" spans="1:6" x14ac:dyDescent="0.35">
      <c r="A315" s="12">
        <v>44102</v>
      </c>
      <c r="B315" s="12">
        <f t="shared" si="4"/>
        <v>44075</v>
      </c>
      <c r="C315">
        <v>5.5852000000000004</v>
      </c>
      <c r="E315" s="1"/>
      <c r="F315" s="12"/>
    </row>
    <row r="316" spans="1:6" x14ac:dyDescent="0.35">
      <c r="A316" s="12">
        <v>44099</v>
      </c>
      <c r="B316" s="12">
        <f t="shared" si="4"/>
        <v>44075</v>
      </c>
      <c r="C316">
        <v>5.5660999999999996</v>
      </c>
      <c r="E316" s="1"/>
      <c r="F316" s="12"/>
    </row>
    <row r="317" spans="1:6" x14ac:dyDescent="0.35">
      <c r="A317" s="12">
        <v>44098</v>
      </c>
      <c r="B317" s="12">
        <f t="shared" si="4"/>
        <v>44075</v>
      </c>
      <c r="C317">
        <v>5.5708000000000002</v>
      </c>
      <c r="E317" s="1"/>
      <c r="F317" s="12"/>
    </row>
    <row r="318" spans="1:6" x14ac:dyDescent="0.35">
      <c r="A318" s="12">
        <v>44097</v>
      </c>
      <c r="B318" s="12">
        <f t="shared" si="4"/>
        <v>44075</v>
      </c>
      <c r="C318">
        <v>5.5305</v>
      </c>
      <c r="E318" s="1"/>
      <c r="F318" s="12"/>
    </row>
    <row r="319" spans="1:6" x14ac:dyDescent="0.35">
      <c r="A319" s="12">
        <v>44096</v>
      </c>
      <c r="B319" s="12">
        <f t="shared" si="4"/>
        <v>44075</v>
      </c>
      <c r="C319">
        <v>5.4322999999999997</v>
      </c>
      <c r="E319" s="1"/>
      <c r="F319" s="12"/>
    </row>
    <row r="320" spans="1:6" x14ac:dyDescent="0.35">
      <c r="A320" s="12">
        <v>44095</v>
      </c>
      <c r="B320" s="12">
        <f t="shared" si="4"/>
        <v>44075</v>
      </c>
      <c r="C320">
        <v>5.4433999999999996</v>
      </c>
      <c r="E320" s="1"/>
      <c r="F320" s="12"/>
    </row>
    <row r="321" spans="1:6" x14ac:dyDescent="0.35">
      <c r="A321" s="12">
        <v>44092</v>
      </c>
      <c r="B321" s="12">
        <f t="shared" si="4"/>
        <v>44075</v>
      </c>
      <c r="C321">
        <v>5.2882999999999996</v>
      </c>
      <c r="E321" s="1"/>
      <c r="F321" s="12"/>
    </row>
    <row r="322" spans="1:6" x14ac:dyDescent="0.35">
      <c r="A322" s="12">
        <v>44091</v>
      </c>
      <c r="B322" s="12">
        <f t="shared" si="4"/>
        <v>44075</v>
      </c>
      <c r="C322">
        <v>5.2587000000000002</v>
      </c>
      <c r="E322" s="1"/>
      <c r="F322" s="12"/>
    </row>
    <row r="323" spans="1:6" x14ac:dyDescent="0.35">
      <c r="A323" s="12">
        <v>44090</v>
      </c>
      <c r="B323" s="12">
        <f t="shared" ref="B323:B386" si="5">DATE(YEAR(A323),MONTH(A323),DAY(1))</f>
        <v>44075</v>
      </c>
      <c r="C323">
        <v>5.2526000000000002</v>
      </c>
      <c r="E323" s="1"/>
      <c r="F323" s="12"/>
    </row>
    <row r="324" spans="1:6" x14ac:dyDescent="0.35">
      <c r="A324" s="12">
        <v>44089</v>
      </c>
      <c r="B324" s="12">
        <f t="shared" si="5"/>
        <v>44075</v>
      </c>
      <c r="C324">
        <v>5.2721999999999998</v>
      </c>
      <c r="E324" s="1"/>
      <c r="F324" s="12"/>
    </row>
    <row r="325" spans="1:6" x14ac:dyDescent="0.35">
      <c r="A325" s="12">
        <v>44088</v>
      </c>
      <c r="B325" s="12">
        <f t="shared" si="5"/>
        <v>44075</v>
      </c>
      <c r="C325">
        <v>5.2977999999999996</v>
      </c>
      <c r="E325" s="1"/>
      <c r="F325" s="12"/>
    </row>
    <row r="326" spans="1:6" x14ac:dyDescent="0.35">
      <c r="A326" s="12">
        <v>44085</v>
      </c>
      <c r="B326" s="12">
        <f t="shared" si="5"/>
        <v>44075</v>
      </c>
      <c r="C326">
        <v>5.2847999999999997</v>
      </c>
      <c r="E326" s="1"/>
      <c r="F326" s="12"/>
    </row>
    <row r="327" spans="1:6" x14ac:dyDescent="0.35">
      <c r="A327" s="12">
        <v>44084</v>
      </c>
      <c r="B327" s="12">
        <f t="shared" si="5"/>
        <v>44075</v>
      </c>
      <c r="C327">
        <v>5.2930000000000001</v>
      </c>
      <c r="E327" s="1"/>
      <c r="F327" s="12"/>
    </row>
    <row r="328" spans="1:6" x14ac:dyDescent="0.35">
      <c r="A328" s="12">
        <v>44083</v>
      </c>
      <c r="B328" s="12">
        <f t="shared" si="5"/>
        <v>44075</v>
      </c>
      <c r="C328">
        <v>5.3018000000000001</v>
      </c>
      <c r="E328" s="1"/>
      <c r="F328" s="12"/>
    </row>
    <row r="329" spans="1:6" x14ac:dyDescent="0.35">
      <c r="A329" s="12">
        <v>44082</v>
      </c>
      <c r="B329" s="12">
        <f t="shared" si="5"/>
        <v>44075</v>
      </c>
      <c r="C329">
        <v>5.3692000000000002</v>
      </c>
      <c r="E329" s="1"/>
      <c r="F329" s="12"/>
    </row>
    <row r="330" spans="1:6" x14ac:dyDescent="0.35">
      <c r="A330" s="12">
        <v>44078</v>
      </c>
      <c r="B330" s="12">
        <f t="shared" si="5"/>
        <v>44075</v>
      </c>
      <c r="C330">
        <v>5.2842000000000002</v>
      </c>
      <c r="E330" s="1"/>
      <c r="F330" s="12"/>
    </row>
    <row r="331" spans="1:6" x14ac:dyDescent="0.35">
      <c r="A331" s="12">
        <v>44077</v>
      </c>
      <c r="B331" s="12">
        <f t="shared" si="5"/>
        <v>44075</v>
      </c>
      <c r="C331">
        <v>5.3072999999999997</v>
      </c>
      <c r="E331" s="1"/>
      <c r="F331" s="12"/>
    </row>
    <row r="332" spans="1:6" x14ac:dyDescent="0.35">
      <c r="A332" s="12">
        <v>44076</v>
      </c>
      <c r="B332" s="12">
        <f t="shared" si="5"/>
        <v>44075</v>
      </c>
      <c r="C332">
        <v>5.3734999999999999</v>
      </c>
      <c r="E332" s="1"/>
      <c r="F332" s="12"/>
    </row>
    <row r="333" spans="1:6" x14ac:dyDescent="0.35">
      <c r="A333" s="12">
        <v>44075</v>
      </c>
      <c r="B333" s="12">
        <f t="shared" si="5"/>
        <v>44075</v>
      </c>
      <c r="C333">
        <v>5.3726000000000003</v>
      </c>
      <c r="E333" s="1"/>
      <c r="F333" s="12"/>
    </row>
    <row r="334" spans="1:6" x14ac:dyDescent="0.35">
      <c r="A334" s="12">
        <v>44074</v>
      </c>
      <c r="B334" s="12">
        <f t="shared" si="5"/>
        <v>44044</v>
      </c>
      <c r="C334">
        <v>5.4706999999999999</v>
      </c>
      <c r="E334" s="1"/>
      <c r="F334" s="12"/>
    </row>
    <row r="335" spans="1:6" x14ac:dyDescent="0.35">
      <c r="A335" s="12">
        <v>44071</v>
      </c>
      <c r="B335" s="12">
        <f t="shared" si="5"/>
        <v>44044</v>
      </c>
      <c r="C335">
        <v>5.4672999999999998</v>
      </c>
      <c r="E335" s="1"/>
      <c r="F335" s="12"/>
    </row>
    <row r="336" spans="1:6" x14ac:dyDescent="0.35">
      <c r="A336" s="12">
        <v>44070</v>
      </c>
      <c r="B336" s="12">
        <f t="shared" si="5"/>
        <v>44044</v>
      </c>
      <c r="C336">
        <v>5.5949999999999998</v>
      </c>
      <c r="E336" s="1"/>
      <c r="F336" s="12"/>
    </row>
    <row r="337" spans="1:6" x14ac:dyDescent="0.35">
      <c r="A337" s="12">
        <v>44069</v>
      </c>
      <c r="B337" s="12">
        <f t="shared" si="5"/>
        <v>44044</v>
      </c>
      <c r="C337">
        <v>5.5674000000000001</v>
      </c>
      <c r="E337" s="1"/>
      <c r="F337" s="12"/>
    </row>
    <row r="338" spans="1:6" x14ac:dyDescent="0.35">
      <c r="A338" s="12">
        <v>44068</v>
      </c>
      <c r="B338" s="12">
        <f t="shared" si="5"/>
        <v>44044</v>
      </c>
      <c r="C338">
        <v>5.5991</v>
      </c>
      <c r="E338" s="1"/>
      <c r="F338" s="12"/>
    </row>
    <row r="339" spans="1:6" x14ac:dyDescent="0.35">
      <c r="A339" s="12">
        <v>44067</v>
      </c>
      <c r="B339" s="12">
        <f t="shared" si="5"/>
        <v>44044</v>
      </c>
      <c r="C339">
        <v>5.5948000000000002</v>
      </c>
      <c r="E339" s="1"/>
      <c r="F339" s="12"/>
    </row>
    <row r="340" spans="1:6" x14ac:dyDescent="0.35">
      <c r="A340" s="12">
        <v>44064</v>
      </c>
      <c r="B340" s="12">
        <f t="shared" si="5"/>
        <v>44044</v>
      </c>
      <c r="C340">
        <v>5.6058000000000003</v>
      </c>
      <c r="E340" s="1"/>
      <c r="F340" s="12"/>
    </row>
    <row r="341" spans="1:6" x14ac:dyDescent="0.35">
      <c r="A341" s="12">
        <v>44063</v>
      </c>
      <c r="B341" s="12">
        <f t="shared" si="5"/>
        <v>44044</v>
      </c>
      <c r="C341">
        <v>5.6504000000000003</v>
      </c>
      <c r="E341" s="1"/>
      <c r="F341" s="12"/>
    </row>
    <row r="342" spans="1:6" x14ac:dyDescent="0.35">
      <c r="A342" s="12">
        <v>44062</v>
      </c>
      <c r="B342" s="12">
        <f t="shared" si="5"/>
        <v>44044</v>
      </c>
      <c r="C342">
        <v>5.49</v>
      </c>
      <c r="E342" s="1"/>
      <c r="F342" s="12"/>
    </row>
    <row r="343" spans="1:6" x14ac:dyDescent="0.35">
      <c r="A343" s="12">
        <v>44061</v>
      </c>
      <c r="B343" s="12">
        <f t="shared" si="5"/>
        <v>44044</v>
      </c>
      <c r="C343">
        <v>5.4653</v>
      </c>
      <c r="E343" s="1"/>
      <c r="F343" s="12"/>
    </row>
    <row r="344" spans="1:6" x14ac:dyDescent="0.35">
      <c r="A344" s="12">
        <v>44060</v>
      </c>
      <c r="B344" s="12">
        <f t="shared" si="5"/>
        <v>44044</v>
      </c>
      <c r="C344">
        <v>5.4490999999999996</v>
      </c>
      <c r="E344" s="1"/>
      <c r="F344" s="12"/>
    </row>
    <row r="345" spans="1:6" x14ac:dyDescent="0.35">
      <c r="A345" s="12">
        <v>44057</v>
      </c>
      <c r="B345" s="12">
        <f t="shared" si="5"/>
        <v>44044</v>
      </c>
      <c r="C345">
        <v>5.3845999999999998</v>
      </c>
      <c r="E345" s="1"/>
      <c r="F345" s="12"/>
    </row>
    <row r="346" spans="1:6" x14ac:dyDescent="0.35">
      <c r="A346" s="12">
        <v>44056</v>
      </c>
      <c r="B346" s="12">
        <f t="shared" si="5"/>
        <v>44044</v>
      </c>
      <c r="C346">
        <v>5.3795000000000002</v>
      </c>
      <c r="E346" s="1"/>
      <c r="F346" s="12"/>
    </row>
    <row r="347" spans="1:6" x14ac:dyDescent="0.35">
      <c r="A347" s="12">
        <v>44055</v>
      </c>
      <c r="B347" s="12">
        <f t="shared" si="5"/>
        <v>44044</v>
      </c>
      <c r="C347">
        <v>5.4545000000000003</v>
      </c>
      <c r="E347" s="1"/>
      <c r="F347" s="12"/>
    </row>
    <row r="348" spans="1:6" x14ac:dyDescent="0.35">
      <c r="A348" s="12">
        <v>44054</v>
      </c>
      <c r="B348" s="12">
        <f t="shared" si="5"/>
        <v>44044</v>
      </c>
      <c r="C348">
        <v>5.4279000000000002</v>
      </c>
      <c r="E348" s="1"/>
      <c r="F348" s="12"/>
    </row>
    <row r="349" spans="1:6" x14ac:dyDescent="0.35">
      <c r="A349" s="12">
        <v>44053</v>
      </c>
      <c r="B349" s="12">
        <f t="shared" si="5"/>
        <v>44044</v>
      </c>
      <c r="C349">
        <v>5.3926999999999996</v>
      </c>
      <c r="E349" s="1"/>
      <c r="F349" s="12"/>
    </row>
    <row r="350" spans="1:6" x14ac:dyDescent="0.35">
      <c r="A350" s="12">
        <v>44050</v>
      </c>
      <c r="B350" s="12">
        <f t="shared" si="5"/>
        <v>44044</v>
      </c>
      <c r="C350">
        <v>5.4221000000000004</v>
      </c>
      <c r="E350" s="1"/>
      <c r="F350" s="12"/>
    </row>
    <row r="351" spans="1:6" x14ac:dyDescent="0.35">
      <c r="A351" s="12">
        <v>44049</v>
      </c>
      <c r="B351" s="12">
        <f t="shared" si="5"/>
        <v>44044</v>
      </c>
      <c r="C351">
        <v>5.3425000000000002</v>
      </c>
      <c r="E351" s="1"/>
      <c r="F351" s="12"/>
    </row>
    <row r="352" spans="1:6" x14ac:dyDescent="0.35">
      <c r="A352" s="12">
        <v>44048</v>
      </c>
      <c r="B352" s="12">
        <f t="shared" si="5"/>
        <v>44044</v>
      </c>
      <c r="C352">
        <v>5.2754000000000003</v>
      </c>
      <c r="E352" s="1"/>
      <c r="F352" s="12"/>
    </row>
    <row r="353" spans="1:6" x14ac:dyDescent="0.35">
      <c r="A353" s="12">
        <v>44047</v>
      </c>
      <c r="B353" s="12">
        <f t="shared" si="5"/>
        <v>44044</v>
      </c>
      <c r="C353">
        <v>5.3323</v>
      </c>
      <c r="E353" s="1"/>
      <c r="F353" s="12"/>
    </row>
    <row r="354" spans="1:6" x14ac:dyDescent="0.35">
      <c r="A354" s="12">
        <v>44046</v>
      </c>
      <c r="B354" s="12">
        <f t="shared" si="5"/>
        <v>44044</v>
      </c>
      <c r="C354">
        <v>5.3068999999999997</v>
      </c>
      <c r="E354" s="1"/>
      <c r="F354" s="12"/>
    </row>
    <row r="355" spans="1:6" x14ac:dyDescent="0.35">
      <c r="A355" s="12">
        <v>44043</v>
      </c>
      <c r="B355" s="12">
        <f t="shared" si="5"/>
        <v>44013</v>
      </c>
      <c r="C355">
        <v>5.2027000000000001</v>
      </c>
      <c r="E355" s="1"/>
      <c r="F355" s="12"/>
    </row>
    <row r="356" spans="1:6" x14ac:dyDescent="0.35">
      <c r="A356" s="12">
        <v>44042</v>
      </c>
      <c r="B356" s="12">
        <f t="shared" si="5"/>
        <v>44013</v>
      </c>
      <c r="C356">
        <v>5.1830999999999996</v>
      </c>
      <c r="E356" s="1"/>
      <c r="F356" s="12"/>
    </row>
    <row r="357" spans="1:6" x14ac:dyDescent="0.35">
      <c r="A357" s="12">
        <v>44041</v>
      </c>
      <c r="B357" s="12">
        <f t="shared" si="5"/>
        <v>44013</v>
      </c>
      <c r="C357">
        <v>5.1388999999999996</v>
      </c>
      <c r="E357" s="1"/>
      <c r="F357" s="12"/>
    </row>
    <row r="358" spans="1:6" x14ac:dyDescent="0.35">
      <c r="A358" s="12">
        <v>44040</v>
      </c>
      <c r="B358" s="12">
        <f t="shared" si="5"/>
        <v>44013</v>
      </c>
      <c r="C358">
        <v>5.1771000000000003</v>
      </c>
      <c r="E358" s="1"/>
      <c r="F358" s="12"/>
    </row>
    <row r="359" spans="1:6" x14ac:dyDescent="0.35">
      <c r="A359" s="12">
        <v>44039</v>
      </c>
      <c r="B359" s="12">
        <f t="shared" si="5"/>
        <v>44013</v>
      </c>
      <c r="C359">
        <v>5.1882999999999999</v>
      </c>
      <c r="E359" s="1"/>
      <c r="F359" s="12"/>
    </row>
    <row r="360" spans="1:6" x14ac:dyDescent="0.35">
      <c r="A360" s="12">
        <v>44036</v>
      </c>
      <c r="B360" s="12">
        <f t="shared" si="5"/>
        <v>44013</v>
      </c>
      <c r="C360">
        <v>5.2140000000000004</v>
      </c>
      <c r="E360" s="1"/>
      <c r="F360" s="12"/>
    </row>
    <row r="361" spans="1:6" x14ac:dyDescent="0.35">
      <c r="A361" s="12">
        <v>44035</v>
      </c>
      <c r="B361" s="12">
        <f t="shared" si="5"/>
        <v>44013</v>
      </c>
      <c r="C361">
        <v>5.1641000000000004</v>
      </c>
      <c r="E361" s="1"/>
      <c r="F361" s="12"/>
    </row>
    <row r="362" spans="1:6" x14ac:dyDescent="0.35">
      <c r="A362" s="12">
        <v>44034</v>
      </c>
      <c r="B362" s="12">
        <f t="shared" si="5"/>
        <v>44013</v>
      </c>
      <c r="C362">
        <v>5.1105</v>
      </c>
      <c r="E362" s="1"/>
      <c r="F362" s="12"/>
    </row>
    <row r="363" spans="1:6" x14ac:dyDescent="0.35">
      <c r="A363" s="12">
        <v>44033</v>
      </c>
      <c r="B363" s="12">
        <f t="shared" si="5"/>
        <v>44013</v>
      </c>
      <c r="C363">
        <v>5.2276999999999996</v>
      </c>
      <c r="E363" s="1"/>
      <c r="F363" s="12"/>
    </row>
    <row r="364" spans="1:6" x14ac:dyDescent="0.35">
      <c r="A364" s="12">
        <v>44032</v>
      </c>
      <c r="B364" s="12">
        <f t="shared" si="5"/>
        <v>44013</v>
      </c>
      <c r="C364">
        <v>5.3628999999999998</v>
      </c>
      <c r="E364" s="1"/>
      <c r="F364" s="12"/>
    </row>
    <row r="365" spans="1:6" x14ac:dyDescent="0.35">
      <c r="A365" s="12">
        <v>44029</v>
      </c>
      <c r="B365" s="12">
        <f t="shared" si="5"/>
        <v>44013</v>
      </c>
      <c r="C365">
        <v>5.3503999999999996</v>
      </c>
      <c r="E365" s="1"/>
      <c r="F365" s="12"/>
    </row>
    <row r="366" spans="1:6" x14ac:dyDescent="0.35">
      <c r="A366" s="12">
        <v>44028</v>
      </c>
      <c r="B366" s="12">
        <f t="shared" si="5"/>
        <v>44013</v>
      </c>
      <c r="C366">
        <v>5.3554000000000004</v>
      </c>
      <c r="E366" s="1"/>
      <c r="F366" s="12"/>
    </row>
    <row r="367" spans="1:6" x14ac:dyDescent="0.35">
      <c r="A367" s="12">
        <v>44027</v>
      </c>
      <c r="B367" s="12">
        <f t="shared" si="5"/>
        <v>44013</v>
      </c>
      <c r="C367">
        <v>5.3484999999999996</v>
      </c>
      <c r="E367" s="1"/>
      <c r="F367" s="12"/>
    </row>
    <row r="368" spans="1:6" x14ac:dyDescent="0.35">
      <c r="A368" s="12">
        <v>44026</v>
      </c>
      <c r="B368" s="12">
        <f t="shared" si="5"/>
        <v>44013</v>
      </c>
      <c r="C368">
        <v>5.4282000000000004</v>
      </c>
      <c r="E368" s="1"/>
      <c r="F368" s="12"/>
    </row>
    <row r="369" spans="1:6" x14ac:dyDescent="0.35">
      <c r="A369" s="12">
        <v>44025</v>
      </c>
      <c r="B369" s="12">
        <f t="shared" si="5"/>
        <v>44013</v>
      </c>
      <c r="C369">
        <v>5.3479999999999999</v>
      </c>
      <c r="E369" s="1"/>
      <c r="F369" s="12"/>
    </row>
    <row r="370" spans="1:6" x14ac:dyDescent="0.35">
      <c r="A370" s="12">
        <v>44022</v>
      </c>
      <c r="B370" s="12">
        <f t="shared" si="5"/>
        <v>44013</v>
      </c>
      <c r="C370">
        <v>5.3433999999999999</v>
      </c>
      <c r="E370" s="1"/>
      <c r="F370" s="12"/>
    </row>
    <row r="371" spans="1:6" x14ac:dyDescent="0.35">
      <c r="A371" s="12">
        <v>44021</v>
      </c>
      <c r="B371" s="12">
        <f t="shared" si="5"/>
        <v>44013</v>
      </c>
      <c r="C371">
        <v>5.2972000000000001</v>
      </c>
      <c r="E371" s="1"/>
      <c r="F371" s="12"/>
    </row>
    <row r="372" spans="1:6" x14ac:dyDescent="0.35">
      <c r="A372" s="12">
        <v>44020</v>
      </c>
      <c r="B372" s="12">
        <f t="shared" si="5"/>
        <v>44013</v>
      </c>
      <c r="C372">
        <v>5.3475999999999999</v>
      </c>
      <c r="E372" s="1"/>
      <c r="F372" s="12"/>
    </row>
    <row r="373" spans="1:6" x14ac:dyDescent="0.35">
      <c r="A373" s="12">
        <v>44019</v>
      </c>
      <c r="B373" s="12">
        <f t="shared" si="5"/>
        <v>44013</v>
      </c>
      <c r="C373">
        <v>5.3311999999999999</v>
      </c>
      <c r="E373" s="1"/>
      <c r="F373" s="12"/>
    </row>
    <row r="374" spans="1:6" x14ac:dyDescent="0.35">
      <c r="A374" s="12">
        <v>44018</v>
      </c>
      <c r="B374" s="12">
        <f t="shared" si="5"/>
        <v>44013</v>
      </c>
      <c r="C374">
        <v>5.3079000000000001</v>
      </c>
      <c r="E374" s="1"/>
      <c r="F374" s="12"/>
    </row>
    <row r="375" spans="1:6" x14ac:dyDescent="0.35">
      <c r="A375" s="12">
        <v>44015</v>
      </c>
      <c r="B375" s="12">
        <f t="shared" si="5"/>
        <v>44013</v>
      </c>
      <c r="C375">
        <v>5.3368000000000002</v>
      </c>
      <c r="E375" s="1"/>
      <c r="F375" s="12"/>
    </row>
    <row r="376" spans="1:6" x14ac:dyDescent="0.35">
      <c r="A376" s="12">
        <v>44014</v>
      </c>
      <c r="B376" s="12">
        <f t="shared" si="5"/>
        <v>44013</v>
      </c>
      <c r="C376">
        <v>5.3022</v>
      </c>
      <c r="E376" s="1"/>
      <c r="F376" s="12"/>
    </row>
    <row r="377" spans="1:6" x14ac:dyDescent="0.35">
      <c r="A377" s="12">
        <v>44013</v>
      </c>
      <c r="B377" s="12">
        <f t="shared" si="5"/>
        <v>44013</v>
      </c>
      <c r="C377">
        <v>5.3646000000000003</v>
      </c>
      <c r="E377" s="1"/>
      <c r="F377" s="12"/>
    </row>
    <row r="378" spans="1:6" x14ac:dyDescent="0.35">
      <c r="A378" s="12">
        <v>44012</v>
      </c>
      <c r="B378" s="12">
        <f t="shared" si="5"/>
        <v>43983</v>
      </c>
      <c r="C378">
        <v>5.4753999999999996</v>
      </c>
      <c r="E378" s="1"/>
      <c r="F378" s="12"/>
    </row>
    <row r="379" spans="1:6" x14ac:dyDescent="0.35">
      <c r="A379" s="12">
        <v>44011</v>
      </c>
      <c r="B379" s="12">
        <f t="shared" si="5"/>
        <v>43983</v>
      </c>
      <c r="C379">
        <v>5.4409999999999998</v>
      </c>
      <c r="E379" s="1"/>
      <c r="F379" s="12"/>
    </row>
    <row r="380" spans="1:6" x14ac:dyDescent="0.35">
      <c r="A380" s="12">
        <v>44008</v>
      </c>
      <c r="B380" s="12">
        <f t="shared" si="5"/>
        <v>43983</v>
      </c>
      <c r="C380">
        <v>5.4622999999999999</v>
      </c>
      <c r="E380" s="1"/>
      <c r="F380" s="12"/>
    </row>
    <row r="381" spans="1:6" x14ac:dyDescent="0.35">
      <c r="A381" s="12">
        <v>44007</v>
      </c>
      <c r="B381" s="12">
        <f t="shared" si="5"/>
        <v>43983</v>
      </c>
      <c r="C381">
        <v>5.3281000000000001</v>
      </c>
      <c r="E381" s="1"/>
      <c r="F381" s="12"/>
    </row>
    <row r="382" spans="1:6" x14ac:dyDescent="0.35">
      <c r="A382" s="12">
        <v>44006</v>
      </c>
      <c r="B382" s="12">
        <f t="shared" si="5"/>
        <v>43983</v>
      </c>
      <c r="C382">
        <v>5.2428999999999997</v>
      </c>
      <c r="E382" s="1"/>
      <c r="F382" s="12"/>
    </row>
    <row r="383" spans="1:6" x14ac:dyDescent="0.35">
      <c r="A383" s="12">
        <v>44005</v>
      </c>
      <c r="B383" s="12">
        <f t="shared" si="5"/>
        <v>43983</v>
      </c>
      <c r="C383">
        <v>5.1699000000000002</v>
      </c>
      <c r="E383" s="1"/>
      <c r="F383" s="12"/>
    </row>
    <row r="384" spans="1:6" x14ac:dyDescent="0.35">
      <c r="A384" s="12">
        <v>44004</v>
      </c>
      <c r="B384" s="12">
        <f t="shared" si="5"/>
        <v>43983</v>
      </c>
      <c r="C384">
        <v>5.2220000000000004</v>
      </c>
      <c r="E384" s="1"/>
      <c r="F384" s="12"/>
    </row>
    <row r="385" spans="1:6" x14ac:dyDescent="0.35">
      <c r="A385" s="12">
        <v>44001</v>
      </c>
      <c r="B385" s="12">
        <f t="shared" si="5"/>
        <v>43983</v>
      </c>
      <c r="C385">
        <v>5.3460000000000001</v>
      </c>
      <c r="E385" s="1"/>
      <c r="F385" s="12"/>
    </row>
    <row r="386" spans="1:6" x14ac:dyDescent="0.35">
      <c r="A386" s="12">
        <v>44000</v>
      </c>
      <c r="B386" s="12">
        <f t="shared" si="5"/>
        <v>43983</v>
      </c>
      <c r="C386">
        <v>5.3461999999999996</v>
      </c>
      <c r="E386" s="1"/>
      <c r="F386" s="12"/>
    </row>
    <row r="387" spans="1:6" x14ac:dyDescent="0.35">
      <c r="A387" s="12">
        <v>43999</v>
      </c>
      <c r="B387" s="12">
        <f t="shared" ref="B387:B450" si="6">DATE(YEAR(A387),MONTH(A387),DAY(1))</f>
        <v>43983</v>
      </c>
      <c r="C387">
        <v>5.2492000000000001</v>
      </c>
      <c r="E387" s="1"/>
      <c r="F387" s="12"/>
    </row>
    <row r="388" spans="1:6" x14ac:dyDescent="0.35">
      <c r="A388" s="12">
        <v>43998</v>
      </c>
      <c r="B388" s="12">
        <f t="shared" si="6"/>
        <v>43983</v>
      </c>
      <c r="C388">
        <v>5.1279000000000003</v>
      </c>
      <c r="E388" s="1"/>
      <c r="F388" s="12"/>
    </row>
    <row r="389" spans="1:6" x14ac:dyDescent="0.35">
      <c r="A389" s="12">
        <v>43997</v>
      </c>
      <c r="B389" s="12">
        <f t="shared" si="6"/>
        <v>43983</v>
      </c>
      <c r="C389">
        <v>5.1877000000000004</v>
      </c>
      <c r="E389" s="1"/>
      <c r="F389" s="12"/>
    </row>
    <row r="390" spans="1:6" x14ac:dyDescent="0.35">
      <c r="A390" s="12">
        <v>43994</v>
      </c>
      <c r="B390" s="12">
        <f t="shared" si="6"/>
        <v>43983</v>
      </c>
      <c r="C390">
        <v>5.0366999999999997</v>
      </c>
      <c r="E390" s="1"/>
      <c r="F390" s="12"/>
    </row>
    <row r="391" spans="1:6" x14ac:dyDescent="0.35">
      <c r="A391" s="12">
        <v>43992</v>
      </c>
      <c r="B391" s="12">
        <f t="shared" si="6"/>
        <v>43983</v>
      </c>
      <c r="C391">
        <v>4.8887999999999998</v>
      </c>
      <c r="E391" s="1"/>
      <c r="F391" s="12"/>
    </row>
    <row r="392" spans="1:6" x14ac:dyDescent="0.35">
      <c r="A392" s="12">
        <v>43991</v>
      </c>
      <c r="B392" s="12">
        <f t="shared" si="6"/>
        <v>43983</v>
      </c>
      <c r="C392">
        <v>4.9051</v>
      </c>
      <c r="E392" s="1"/>
      <c r="F392" s="12"/>
    </row>
    <row r="393" spans="1:6" x14ac:dyDescent="0.35">
      <c r="A393" s="12">
        <v>43990</v>
      </c>
      <c r="B393" s="12">
        <f t="shared" si="6"/>
        <v>43983</v>
      </c>
      <c r="C393">
        <v>4.9325000000000001</v>
      </c>
      <c r="E393" s="1"/>
      <c r="F393" s="12"/>
    </row>
    <row r="394" spans="1:6" x14ac:dyDescent="0.35">
      <c r="A394" s="12">
        <v>43987</v>
      </c>
      <c r="B394" s="12">
        <f t="shared" si="6"/>
        <v>43983</v>
      </c>
      <c r="C394">
        <v>4.9768999999999997</v>
      </c>
      <c r="E394" s="1"/>
      <c r="F394" s="12"/>
    </row>
    <row r="395" spans="1:6" x14ac:dyDescent="0.35">
      <c r="A395" s="12">
        <v>43986</v>
      </c>
      <c r="B395" s="12">
        <f t="shared" si="6"/>
        <v>43983</v>
      </c>
      <c r="C395">
        <v>5.1035000000000004</v>
      </c>
      <c r="E395" s="1"/>
      <c r="F395" s="12"/>
    </row>
    <row r="396" spans="1:6" x14ac:dyDescent="0.35">
      <c r="A396" s="12">
        <v>43985</v>
      </c>
      <c r="B396" s="12">
        <f t="shared" si="6"/>
        <v>43983</v>
      </c>
      <c r="C396">
        <v>5.0510000000000002</v>
      </c>
      <c r="E396" s="1"/>
      <c r="F396" s="12"/>
    </row>
    <row r="397" spans="1:6" x14ac:dyDescent="0.35">
      <c r="A397" s="12">
        <v>43984</v>
      </c>
      <c r="B397" s="12">
        <f t="shared" si="6"/>
        <v>43983</v>
      </c>
      <c r="C397">
        <v>5.2595000000000001</v>
      </c>
      <c r="E397" s="1"/>
      <c r="F397" s="12"/>
    </row>
    <row r="398" spans="1:6" x14ac:dyDescent="0.35">
      <c r="A398" s="12">
        <v>43983</v>
      </c>
      <c r="B398" s="12">
        <f t="shared" si="6"/>
        <v>43983</v>
      </c>
      <c r="C398">
        <v>5.3632999999999997</v>
      </c>
      <c r="E398" s="1"/>
      <c r="F398" s="12"/>
    </row>
    <row r="399" spans="1:6" x14ac:dyDescent="0.35">
      <c r="A399" s="12">
        <v>43980</v>
      </c>
      <c r="B399" s="12">
        <f t="shared" si="6"/>
        <v>43952</v>
      </c>
      <c r="C399">
        <v>5.4257</v>
      </c>
      <c r="E399" s="1"/>
      <c r="F399" s="12"/>
    </row>
    <row r="400" spans="1:6" x14ac:dyDescent="0.35">
      <c r="A400" s="12">
        <v>43979</v>
      </c>
      <c r="B400" s="12">
        <f t="shared" si="6"/>
        <v>43952</v>
      </c>
      <c r="C400">
        <v>5.3399000000000001</v>
      </c>
      <c r="E400" s="1"/>
      <c r="F400" s="12"/>
    </row>
    <row r="401" spans="1:6" x14ac:dyDescent="0.35">
      <c r="A401" s="12">
        <v>43978</v>
      </c>
      <c r="B401" s="12">
        <f t="shared" si="6"/>
        <v>43952</v>
      </c>
      <c r="C401">
        <v>5.2986000000000004</v>
      </c>
      <c r="E401" s="1"/>
      <c r="F401" s="12"/>
    </row>
    <row r="402" spans="1:6" x14ac:dyDescent="0.35">
      <c r="A402" s="12">
        <v>43977</v>
      </c>
      <c r="B402" s="12">
        <f t="shared" si="6"/>
        <v>43952</v>
      </c>
      <c r="C402">
        <v>5.3700999999999999</v>
      </c>
      <c r="E402" s="1"/>
      <c r="F402" s="12"/>
    </row>
    <row r="403" spans="1:6" x14ac:dyDescent="0.35">
      <c r="A403" s="12">
        <v>43976</v>
      </c>
      <c r="B403" s="12">
        <f t="shared" si="6"/>
        <v>43952</v>
      </c>
      <c r="C403">
        <v>5.4766000000000004</v>
      </c>
      <c r="E403" s="1"/>
      <c r="F403" s="12"/>
    </row>
    <row r="404" spans="1:6" x14ac:dyDescent="0.35">
      <c r="A404" s="12">
        <v>43973</v>
      </c>
      <c r="B404" s="12">
        <f t="shared" si="6"/>
        <v>43952</v>
      </c>
      <c r="C404">
        <v>5.5801999999999996</v>
      </c>
      <c r="E404" s="1"/>
      <c r="F404" s="12"/>
    </row>
    <row r="405" spans="1:6" x14ac:dyDescent="0.35">
      <c r="A405" s="12">
        <v>43972</v>
      </c>
      <c r="B405" s="12">
        <f t="shared" si="6"/>
        <v>43952</v>
      </c>
      <c r="C405">
        <v>5.6013000000000002</v>
      </c>
      <c r="E405" s="1"/>
      <c r="F405" s="12"/>
    </row>
    <row r="406" spans="1:6" x14ac:dyDescent="0.35">
      <c r="A406" s="12">
        <v>43971</v>
      </c>
      <c r="B406" s="12">
        <f t="shared" si="6"/>
        <v>43952</v>
      </c>
      <c r="C406">
        <v>5.6962000000000002</v>
      </c>
      <c r="E406" s="1"/>
      <c r="F406" s="12"/>
    </row>
    <row r="407" spans="1:6" x14ac:dyDescent="0.35">
      <c r="A407" s="12">
        <v>43970</v>
      </c>
      <c r="B407" s="12">
        <f t="shared" si="6"/>
        <v>43952</v>
      </c>
      <c r="C407">
        <v>5.7210000000000001</v>
      </c>
      <c r="E407" s="1"/>
      <c r="F407" s="12"/>
    </row>
    <row r="408" spans="1:6" x14ac:dyDescent="0.35">
      <c r="A408" s="12">
        <v>43969</v>
      </c>
      <c r="B408" s="12">
        <f t="shared" si="6"/>
        <v>43952</v>
      </c>
      <c r="C408">
        <v>5.7369000000000003</v>
      </c>
      <c r="E408" s="1"/>
      <c r="F408" s="12"/>
    </row>
    <row r="409" spans="1:6" x14ac:dyDescent="0.35">
      <c r="A409" s="12">
        <v>43966</v>
      </c>
      <c r="B409" s="12">
        <f t="shared" si="6"/>
        <v>43952</v>
      </c>
      <c r="C409">
        <v>5.8223000000000003</v>
      </c>
      <c r="E409" s="1"/>
      <c r="F409" s="12"/>
    </row>
    <row r="410" spans="1:6" x14ac:dyDescent="0.35">
      <c r="A410" s="12">
        <v>43965</v>
      </c>
      <c r="B410" s="12">
        <f t="shared" si="6"/>
        <v>43952</v>
      </c>
      <c r="C410">
        <v>5.9366000000000003</v>
      </c>
      <c r="E410" s="1"/>
      <c r="F410" s="12"/>
    </row>
    <row r="411" spans="1:6" x14ac:dyDescent="0.35">
      <c r="A411" s="12">
        <v>43964</v>
      </c>
      <c r="B411" s="12">
        <f t="shared" si="6"/>
        <v>43952</v>
      </c>
      <c r="C411">
        <v>5.9016000000000002</v>
      </c>
      <c r="E411" s="1"/>
      <c r="F411" s="12"/>
    </row>
    <row r="412" spans="1:6" x14ac:dyDescent="0.35">
      <c r="A412" s="12">
        <v>43963</v>
      </c>
      <c r="B412" s="12">
        <f t="shared" si="6"/>
        <v>43952</v>
      </c>
      <c r="C412">
        <v>5.7717000000000001</v>
      </c>
      <c r="E412" s="1"/>
      <c r="F412" s="12"/>
    </row>
    <row r="413" spans="1:6" x14ac:dyDescent="0.35">
      <c r="A413" s="12">
        <v>43962</v>
      </c>
      <c r="B413" s="12">
        <f t="shared" si="6"/>
        <v>43952</v>
      </c>
      <c r="C413">
        <v>5.7948000000000004</v>
      </c>
      <c r="E413" s="1"/>
      <c r="F413" s="12"/>
    </row>
    <row r="414" spans="1:6" x14ac:dyDescent="0.35">
      <c r="A414" s="12">
        <v>43959</v>
      </c>
      <c r="B414" s="12">
        <f t="shared" si="6"/>
        <v>43952</v>
      </c>
      <c r="C414">
        <v>5.7647000000000004</v>
      </c>
      <c r="E414" s="1"/>
      <c r="F414" s="12"/>
    </row>
    <row r="415" spans="1:6" x14ac:dyDescent="0.35">
      <c r="A415" s="12">
        <v>43958</v>
      </c>
      <c r="B415" s="12">
        <f t="shared" si="6"/>
        <v>43952</v>
      </c>
      <c r="C415">
        <v>5.8358999999999996</v>
      </c>
      <c r="E415" s="1"/>
      <c r="F415" s="12"/>
    </row>
    <row r="416" spans="1:6" x14ac:dyDescent="0.35">
      <c r="A416" s="12">
        <v>43957</v>
      </c>
      <c r="B416" s="12">
        <f t="shared" si="6"/>
        <v>43952</v>
      </c>
      <c r="C416">
        <v>5.6669999999999998</v>
      </c>
      <c r="E416" s="1"/>
      <c r="F416" s="12"/>
    </row>
    <row r="417" spans="1:6" x14ac:dyDescent="0.35">
      <c r="A417" s="12">
        <v>43956</v>
      </c>
      <c r="B417" s="12">
        <f t="shared" si="6"/>
        <v>43952</v>
      </c>
      <c r="C417">
        <v>5.5347999999999997</v>
      </c>
      <c r="E417" s="1"/>
      <c r="F417" s="12"/>
    </row>
    <row r="418" spans="1:6" x14ac:dyDescent="0.35">
      <c r="A418" s="12">
        <v>43955</v>
      </c>
      <c r="B418" s="12">
        <f t="shared" si="6"/>
        <v>43952</v>
      </c>
      <c r="C418">
        <v>5.5811000000000002</v>
      </c>
      <c r="E418" s="1"/>
      <c r="F418" s="12"/>
    </row>
    <row r="419" spans="1:6" x14ac:dyDescent="0.35">
      <c r="A419" s="12">
        <v>43951</v>
      </c>
      <c r="B419" s="12">
        <f t="shared" si="6"/>
        <v>43922</v>
      </c>
      <c r="C419">
        <v>5.4264000000000001</v>
      </c>
      <c r="E419" s="1"/>
      <c r="F419" s="12"/>
    </row>
    <row r="420" spans="1:6" x14ac:dyDescent="0.35">
      <c r="A420" s="12">
        <v>43950</v>
      </c>
      <c r="B420" s="12">
        <f t="shared" si="6"/>
        <v>43922</v>
      </c>
      <c r="C420">
        <v>5.4284999999999997</v>
      </c>
      <c r="E420" s="1"/>
      <c r="F420" s="12"/>
    </row>
    <row r="421" spans="1:6" x14ac:dyDescent="0.35">
      <c r="A421" s="12">
        <v>43949</v>
      </c>
      <c r="B421" s="12">
        <f t="shared" si="6"/>
        <v>43922</v>
      </c>
      <c r="C421">
        <v>5.5677000000000003</v>
      </c>
      <c r="E421" s="1"/>
      <c r="F421" s="12"/>
    </row>
    <row r="422" spans="1:6" x14ac:dyDescent="0.35">
      <c r="A422" s="12">
        <v>43948</v>
      </c>
      <c r="B422" s="12">
        <f t="shared" si="6"/>
        <v>43922</v>
      </c>
      <c r="C422">
        <v>5.6352000000000002</v>
      </c>
      <c r="E422" s="1"/>
      <c r="F422" s="12"/>
    </row>
    <row r="423" spans="1:6" x14ac:dyDescent="0.35">
      <c r="A423" s="12">
        <v>43945</v>
      </c>
      <c r="B423" s="12">
        <f t="shared" si="6"/>
        <v>43922</v>
      </c>
      <c r="C423">
        <v>5.6504000000000003</v>
      </c>
      <c r="E423" s="1"/>
      <c r="F423" s="12"/>
    </row>
    <row r="424" spans="1:6" x14ac:dyDescent="0.35">
      <c r="A424" s="12">
        <v>43944</v>
      </c>
      <c r="B424" s="12">
        <f t="shared" si="6"/>
        <v>43922</v>
      </c>
      <c r="C424">
        <v>5.4461000000000004</v>
      </c>
      <c r="E424" s="1"/>
      <c r="F424" s="12"/>
    </row>
    <row r="425" spans="1:6" x14ac:dyDescent="0.35">
      <c r="A425" s="12">
        <v>43943</v>
      </c>
      <c r="B425" s="12">
        <f t="shared" si="6"/>
        <v>43922</v>
      </c>
      <c r="C425">
        <v>5.3841000000000001</v>
      </c>
      <c r="E425" s="1"/>
      <c r="F425" s="12"/>
    </row>
    <row r="426" spans="1:6" x14ac:dyDescent="0.35">
      <c r="A426" s="12">
        <v>43941</v>
      </c>
      <c r="B426" s="12">
        <f t="shared" si="6"/>
        <v>43922</v>
      </c>
      <c r="C426">
        <v>5.2831000000000001</v>
      </c>
      <c r="E426" s="1"/>
      <c r="F426" s="12"/>
    </row>
    <row r="427" spans="1:6" x14ac:dyDescent="0.35">
      <c r="A427" s="12">
        <v>43938</v>
      </c>
      <c r="B427" s="12">
        <f t="shared" si="6"/>
        <v>43922</v>
      </c>
      <c r="C427">
        <v>5.2567000000000004</v>
      </c>
      <c r="E427" s="1"/>
      <c r="F427" s="12"/>
    </row>
    <row r="428" spans="1:6" x14ac:dyDescent="0.35">
      <c r="A428" s="12">
        <v>43937</v>
      </c>
      <c r="B428" s="12">
        <f t="shared" si="6"/>
        <v>43922</v>
      </c>
      <c r="C428">
        <v>5.2370999999999999</v>
      </c>
      <c r="E428" s="1"/>
      <c r="F428" s="12"/>
    </row>
    <row r="429" spans="1:6" x14ac:dyDescent="0.35">
      <c r="A429" s="12">
        <v>43936</v>
      </c>
      <c r="B429" s="12">
        <f t="shared" si="6"/>
        <v>43922</v>
      </c>
      <c r="C429">
        <v>5.2572999999999999</v>
      </c>
      <c r="E429" s="1"/>
      <c r="F429" s="12"/>
    </row>
    <row r="430" spans="1:6" x14ac:dyDescent="0.35">
      <c r="A430" s="12">
        <v>43935</v>
      </c>
      <c r="B430" s="12">
        <f t="shared" si="6"/>
        <v>43922</v>
      </c>
      <c r="C430">
        <v>5.1852</v>
      </c>
      <c r="E430" s="1"/>
      <c r="F430" s="12"/>
    </row>
    <row r="431" spans="1:6" x14ac:dyDescent="0.35">
      <c r="A431" s="12">
        <v>43934</v>
      </c>
      <c r="B431" s="12">
        <f t="shared" si="6"/>
        <v>43922</v>
      </c>
      <c r="C431">
        <v>5.1818</v>
      </c>
      <c r="E431" s="1"/>
      <c r="F431" s="12"/>
    </row>
    <row r="432" spans="1:6" x14ac:dyDescent="0.35">
      <c r="A432" s="12">
        <v>43930</v>
      </c>
      <c r="B432" s="12">
        <f t="shared" si="6"/>
        <v>43922</v>
      </c>
      <c r="C432">
        <v>5.0773000000000001</v>
      </c>
      <c r="E432" s="1"/>
      <c r="F432" s="12"/>
    </row>
    <row r="433" spans="1:6" x14ac:dyDescent="0.35">
      <c r="A433" s="12">
        <v>43929</v>
      </c>
      <c r="B433" s="12">
        <f t="shared" si="6"/>
        <v>43922</v>
      </c>
      <c r="C433">
        <v>5.2117000000000004</v>
      </c>
      <c r="E433" s="1"/>
      <c r="F433" s="12"/>
    </row>
    <row r="434" spans="1:6" x14ac:dyDescent="0.35">
      <c r="A434" s="12">
        <v>43928</v>
      </c>
      <c r="B434" s="12">
        <f t="shared" si="6"/>
        <v>43922</v>
      </c>
      <c r="C434">
        <v>5.2210999999999999</v>
      </c>
      <c r="E434" s="1"/>
      <c r="F434" s="12"/>
    </row>
    <row r="435" spans="1:6" x14ac:dyDescent="0.35">
      <c r="A435" s="12">
        <v>43927</v>
      </c>
      <c r="B435" s="12">
        <f t="shared" si="6"/>
        <v>43922</v>
      </c>
      <c r="C435">
        <v>5.2465000000000002</v>
      </c>
      <c r="E435" s="1"/>
      <c r="F435" s="12"/>
    </row>
    <row r="436" spans="1:6" x14ac:dyDescent="0.35">
      <c r="A436" s="12">
        <v>43924</v>
      </c>
      <c r="B436" s="12">
        <f t="shared" si="6"/>
        <v>43922</v>
      </c>
      <c r="C436">
        <v>5.2991000000000001</v>
      </c>
      <c r="E436" s="1"/>
      <c r="F436" s="12"/>
    </row>
    <row r="437" spans="1:6" x14ac:dyDescent="0.35">
      <c r="A437" s="12">
        <v>43923</v>
      </c>
      <c r="B437" s="12">
        <f t="shared" si="6"/>
        <v>43922</v>
      </c>
      <c r="C437">
        <v>5.2645</v>
      </c>
      <c r="E437" s="1"/>
      <c r="F437" s="12"/>
    </row>
    <row r="438" spans="1:6" x14ac:dyDescent="0.35">
      <c r="A438" s="12">
        <v>43922</v>
      </c>
      <c r="B438" s="12">
        <f t="shared" si="6"/>
        <v>43922</v>
      </c>
      <c r="C438">
        <v>5.2398999999999996</v>
      </c>
      <c r="E438" s="1"/>
      <c r="F438" s="12"/>
    </row>
    <row r="439" spans="1:6" x14ac:dyDescent="0.35">
      <c r="A439" s="12">
        <v>43921</v>
      </c>
      <c r="B439" s="12">
        <f t="shared" si="6"/>
        <v>43891</v>
      </c>
      <c r="C439">
        <v>5.1981000000000002</v>
      </c>
      <c r="E439" s="1"/>
      <c r="F439" s="12"/>
    </row>
    <row r="440" spans="1:6" x14ac:dyDescent="0.35">
      <c r="A440" s="12">
        <v>43920</v>
      </c>
      <c r="B440" s="12">
        <f t="shared" si="6"/>
        <v>43891</v>
      </c>
      <c r="C440">
        <v>5.1588000000000003</v>
      </c>
      <c r="E440" s="1"/>
      <c r="F440" s="12"/>
    </row>
    <row r="441" spans="1:6" x14ac:dyDescent="0.35">
      <c r="A441" s="12">
        <v>43917</v>
      </c>
      <c r="B441" s="12">
        <f t="shared" si="6"/>
        <v>43891</v>
      </c>
      <c r="C441">
        <v>5.1102999999999996</v>
      </c>
      <c r="E441" s="1"/>
      <c r="F441" s="12"/>
    </row>
    <row r="442" spans="1:6" x14ac:dyDescent="0.35">
      <c r="A442" s="12">
        <v>43916</v>
      </c>
      <c r="B442" s="12">
        <f t="shared" si="6"/>
        <v>43891</v>
      </c>
      <c r="C442">
        <v>5.0004</v>
      </c>
      <c r="E442" s="1"/>
      <c r="F442" s="12"/>
    </row>
    <row r="443" spans="1:6" x14ac:dyDescent="0.35">
      <c r="A443" s="12">
        <v>43915</v>
      </c>
      <c r="B443" s="12">
        <f t="shared" si="6"/>
        <v>43891</v>
      </c>
      <c r="C443">
        <v>5.07</v>
      </c>
      <c r="E443" s="1"/>
      <c r="F443" s="12"/>
    </row>
    <row r="444" spans="1:6" x14ac:dyDescent="0.35">
      <c r="A444" s="12">
        <v>43914</v>
      </c>
      <c r="B444" s="12">
        <f t="shared" si="6"/>
        <v>43891</v>
      </c>
      <c r="C444">
        <v>5.0707000000000004</v>
      </c>
      <c r="E444" s="1"/>
      <c r="F444" s="12"/>
    </row>
    <row r="445" spans="1:6" x14ac:dyDescent="0.35">
      <c r="A445" s="12">
        <v>43913</v>
      </c>
      <c r="B445" s="12">
        <f t="shared" si="6"/>
        <v>43891</v>
      </c>
      <c r="C445">
        <v>5.0797999999999996</v>
      </c>
      <c r="E445" s="1"/>
      <c r="F445" s="12"/>
    </row>
    <row r="446" spans="1:6" x14ac:dyDescent="0.35">
      <c r="A446" s="12">
        <v>43910</v>
      </c>
      <c r="B446" s="12">
        <f t="shared" si="6"/>
        <v>43891</v>
      </c>
      <c r="C446">
        <v>5.0240999999999998</v>
      </c>
      <c r="E446" s="1"/>
      <c r="F446" s="12"/>
    </row>
    <row r="447" spans="1:6" x14ac:dyDescent="0.35">
      <c r="A447" s="12">
        <v>43909</v>
      </c>
      <c r="B447" s="12">
        <f t="shared" si="6"/>
        <v>43891</v>
      </c>
      <c r="C447">
        <v>5.1436999999999999</v>
      </c>
      <c r="E447" s="1"/>
      <c r="F447" s="12"/>
    </row>
    <row r="448" spans="1:6" x14ac:dyDescent="0.35">
      <c r="A448" s="12">
        <v>43908</v>
      </c>
      <c r="B448" s="12">
        <f t="shared" si="6"/>
        <v>43891</v>
      </c>
      <c r="C448">
        <v>5.1101000000000001</v>
      </c>
      <c r="E448" s="1"/>
      <c r="F448" s="12"/>
    </row>
    <row r="449" spans="1:6" x14ac:dyDescent="0.35">
      <c r="A449" s="12">
        <v>43907</v>
      </c>
      <c r="B449" s="12">
        <f t="shared" si="6"/>
        <v>43891</v>
      </c>
      <c r="C449">
        <v>5.0488999999999997</v>
      </c>
      <c r="E449" s="1"/>
      <c r="F449" s="12"/>
    </row>
    <row r="450" spans="1:6" x14ac:dyDescent="0.35">
      <c r="A450" s="12">
        <v>43906</v>
      </c>
      <c r="B450" s="12">
        <f t="shared" si="6"/>
        <v>43891</v>
      </c>
      <c r="C450">
        <v>4.9463999999999997</v>
      </c>
      <c r="E450" s="1"/>
      <c r="F450" s="12"/>
    </row>
    <row r="451" spans="1:6" x14ac:dyDescent="0.35">
      <c r="A451" s="12">
        <v>43903</v>
      </c>
      <c r="B451" s="12">
        <f t="shared" ref="B451:B514" si="7">DATE(YEAR(A451),MONTH(A451),DAY(1))</f>
        <v>43891</v>
      </c>
      <c r="C451">
        <v>4.7355</v>
      </c>
      <c r="E451" s="1"/>
      <c r="F451" s="12"/>
    </row>
    <row r="452" spans="1:6" x14ac:dyDescent="0.35">
      <c r="A452" s="12">
        <v>43902</v>
      </c>
      <c r="B452" s="12">
        <f t="shared" si="7"/>
        <v>43891</v>
      </c>
      <c r="C452">
        <v>4.8825000000000003</v>
      </c>
      <c r="E452" s="1"/>
      <c r="F452" s="12"/>
    </row>
    <row r="453" spans="1:6" x14ac:dyDescent="0.35">
      <c r="A453" s="12">
        <v>43901</v>
      </c>
      <c r="B453" s="12">
        <f t="shared" si="7"/>
        <v>43891</v>
      </c>
      <c r="C453">
        <v>4.6731999999999996</v>
      </c>
      <c r="E453" s="1"/>
      <c r="F453" s="12"/>
    </row>
    <row r="454" spans="1:6" x14ac:dyDescent="0.35">
      <c r="A454" s="12">
        <v>43900</v>
      </c>
      <c r="B454" s="12">
        <f t="shared" si="7"/>
        <v>43891</v>
      </c>
      <c r="C454">
        <v>4.6687000000000003</v>
      </c>
      <c r="E454" s="1"/>
      <c r="F454" s="12"/>
    </row>
    <row r="455" spans="1:6" x14ac:dyDescent="0.35">
      <c r="A455" s="12">
        <v>43899</v>
      </c>
      <c r="B455" s="12">
        <f t="shared" si="7"/>
        <v>43891</v>
      </c>
      <c r="C455">
        <v>4.7373000000000003</v>
      </c>
      <c r="E455" s="1"/>
      <c r="F455" s="12"/>
    </row>
    <row r="456" spans="1:6" x14ac:dyDescent="0.35">
      <c r="A456" s="12">
        <v>43896</v>
      </c>
      <c r="B456" s="12">
        <f t="shared" si="7"/>
        <v>43891</v>
      </c>
      <c r="C456">
        <v>4.6452999999999998</v>
      </c>
      <c r="E456" s="1"/>
      <c r="F456" s="12"/>
    </row>
    <row r="457" spans="1:6" x14ac:dyDescent="0.35">
      <c r="A457" s="12">
        <v>43895</v>
      </c>
      <c r="B457" s="12">
        <f t="shared" si="7"/>
        <v>43891</v>
      </c>
      <c r="C457">
        <v>4.6200999999999999</v>
      </c>
      <c r="E457" s="1"/>
      <c r="F457" s="12"/>
    </row>
    <row r="458" spans="1:6" x14ac:dyDescent="0.35">
      <c r="A458" s="12">
        <v>43894</v>
      </c>
      <c r="B458" s="12">
        <f t="shared" si="7"/>
        <v>43891</v>
      </c>
      <c r="C458">
        <v>4.5251999999999999</v>
      </c>
      <c r="E458" s="1"/>
      <c r="F458" s="12"/>
    </row>
    <row r="459" spans="1:6" x14ac:dyDescent="0.35">
      <c r="A459" s="12">
        <v>43893</v>
      </c>
      <c r="B459" s="12">
        <f t="shared" si="7"/>
        <v>43891</v>
      </c>
      <c r="C459">
        <v>4.4877000000000002</v>
      </c>
      <c r="E459" s="1"/>
      <c r="F459" s="12"/>
    </row>
    <row r="460" spans="1:6" x14ac:dyDescent="0.35">
      <c r="A460" s="12">
        <v>43892</v>
      </c>
      <c r="B460" s="12">
        <f t="shared" si="7"/>
        <v>43891</v>
      </c>
      <c r="C460">
        <v>4.4939999999999998</v>
      </c>
      <c r="E460" s="1"/>
      <c r="F460" s="12"/>
    </row>
    <row r="461" spans="1:6" x14ac:dyDescent="0.35">
      <c r="A461" s="12">
        <v>43889</v>
      </c>
      <c r="B461" s="12">
        <f t="shared" si="7"/>
        <v>43862</v>
      </c>
      <c r="C461">
        <v>4.4981</v>
      </c>
      <c r="E461" s="1"/>
      <c r="F461" s="12"/>
    </row>
    <row r="462" spans="1:6" x14ac:dyDescent="0.35">
      <c r="A462" s="12">
        <v>43888</v>
      </c>
      <c r="B462" s="12">
        <f t="shared" si="7"/>
        <v>43862</v>
      </c>
      <c r="C462">
        <v>4.4757999999999996</v>
      </c>
      <c r="E462" s="1"/>
      <c r="F462" s="12"/>
    </row>
    <row r="463" spans="1:6" x14ac:dyDescent="0.35">
      <c r="A463" s="12">
        <v>43887</v>
      </c>
      <c r="B463" s="12">
        <f t="shared" si="7"/>
        <v>43862</v>
      </c>
      <c r="C463">
        <v>4.4352999999999998</v>
      </c>
      <c r="E463" s="1"/>
      <c r="F463" s="12"/>
    </row>
    <row r="464" spans="1:6" x14ac:dyDescent="0.35">
      <c r="A464" s="12">
        <v>43882</v>
      </c>
      <c r="B464" s="12">
        <f t="shared" si="7"/>
        <v>43862</v>
      </c>
      <c r="C464">
        <v>4.3917999999999999</v>
      </c>
      <c r="E464" s="1"/>
      <c r="F464" s="12"/>
    </row>
    <row r="465" spans="1:6" x14ac:dyDescent="0.35">
      <c r="A465" s="12">
        <v>43881</v>
      </c>
      <c r="B465" s="12">
        <f t="shared" si="7"/>
        <v>43862</v>
      </c>
      <c r="C465">
        <v>4.3867000000000003</v>
      </c>
      <c r="E465" s="1"/>
      <c r="F465" s="12"/>
    </row>
    <row r="466" spans="1:6" x14ac:dyDescent="0.35">
      <c r="A466" s="12">
        <v>43880</v>
      </c>
      <c r="B466" s="12">
        <f t="shared" si="7"/>
        <v>43862</v>
      </c>
      <c r="C466">
        <v>4.3722000000000003</v>
      </c>
      <c r="E466" s="1"/>
      <c r="F466" s="12"/>
    </row>
    <row r="467" spans="1:6" x14ac:dyDescent="0.35">
      <c r="A467" s="12">
        <v>43879</v>
      </c>
      <c r="B467" s="12">
        <f t="shared" si="7"/>
        <v>43862</v>
      </c>
      <c r="C467">
        <v>4.3464999999999998</v>
      </c>
      <c r="E467" s="1"/>
      <c r="F467" s="12"/>
    </row>
    <row r="468" spans="1:6" x14ac:dyDescent="0.35">
      <c r="A468" s="12">
        <v>43878</v>
      </c>
      <c r="B468" s="12">
        <f t="shared" si="7"/>
        <v>43862</v>
      </c>
      <c r="C468">
        <v>4.3151000000000002</v>
      </c>
      <c r="E468" s="1"/>
      <c r="F468" s="12"/>
    </row>
    <row r="469" spans="1:6" x14ac:dyDescent="0.35">
      <c r="A469" s="12">
        <v>43875</v>
      </c>
      <c r="B469" s="12">
        <f t="shared" si="7"/>
        <v>43862</v>
      </c>
      <c r="C469">
        <v>4.3156999999999996</v>
      </c>
      <c r="E469" s="1"/>
      <c r="F469" s="12"/>
    </row>
    <row r="470" spans="1:6" x14ac:dyDescent="0.35">
      <c r="A470" s="12">
        <v>43874</v>
      </c>
      <c r="B470" s="12">
        <f t="shared" si="7"/>
        <v>43862</v>
      </c>
      <c r="C470">
        <v>4.3383000000000003</v>
      </c>
      <c r="E470" s="1"/>
      <c r="F470" s="12"/>
    </row>
    <row r="471" spans="1:6" x14ac:dyDescent="0.35">
      <c r="A471" s="12">
        <v>43873</v>
      </c>
      <c r="B471" s="12">
        <f t="shared" si="7"/>
        <v>43862</v>
      </c>
      <c r="C471">
        <v>4.3360000000000003</v>
      </c>
      <c r="E471" s="1"/>
      <c r="F471" s="12"/>
    </row>
    <row r="472" spans="1:6" x14ac:dyDescent="0.35">
      <c r="A472" s="12">
        <v>43872</v>
      </c>
      <c r="B472" s="12">
        <f t="shared" si="7"/>
        <v>43862</v>
      </c>
      <c r="C472">
        <v>4.3141999999999996</v>
      </c>
      <c r="E472" s="1"/>
      <c r="F472" s="12"/>
    </row>
    <row r="473" spans="1:6" x14ac:dyDescent="0.35">
      <c r="A473" s="12">
        <v>43871</v>
      </c>
      <c r="B473" s="12">
        <f t="shared" si="7"/>
        <v>43862</v>
      </c>
      <c r="C473">
        <v>4.3189000000000002</v>
      </c>
      <c r="E473" s="1"/>
      <c r="F473" s="12"/>
    </row>
    <row r="474" spans="1:6" x14ac:dyDescent="0.35">
      <c r="A474" s="12">
        <v>43868</v>
      </c>
      <c r="B474" s="12">
        <f t="shared" si="7"/>
        <v>43862</v>
      </c>
      <c r="C474">
        <v>4.3070000000000004</v>
      </c>
      <c r="E474" s="1"/>
      <c r="F474" s="12"/>
    </row>
    <row r="475" spans="1:6" x14ac:dyDescent="0.35">
      <c r="A475" s="12">
        <v>43867</v>
      </c>
      <c r="B475" s="12">
        <f t="shared" si="7"/>
        <v>43862</v>
      </c>
      <c r="C475">
        <v>4.2470999999999997</v>
      </c>
      <c r="E475" s="1"/>
      <c r="F475" s="12"/>
    </row>
    <row r="476" spans="1:6" x14ac:dyDescent="0.35">
      <c r="A476" s="12">
        <v>43866</v>
      </c>
      <c r="B476" s="12">
        <f t="shared" si="7"/>
        <v>43862</v>
      </c>
      <c r="C476">
        <v>4.2443</v>
      </c>
      <c r="E476" s="1"/>
      <c r="F476" s="12"/>
    </row>
    <row r="477" spans="1:6" x14ac:dyDescent="0.35">
      <c r="A477" s="12">
        <v>43865</v>
      </c>
      <c r="B477" s="12">
        <f t="shared" si="7"/>
        <v>43862</v>
      </c>
      <c r="C477">
        <v>4.2374999999999998</v>
      </c>
      <c r="E477" s="1"/>
      <c r="F477" s="12"/>
    </row>
    <row r="478" spans="1:6" x14ac:dyDescent="0.35">
      <c r="A478" s="12">
        <v>43864</v>
      </c>
      <c r="B478" s="12">
        <f t="shared" si="7"/>
        <v>43862</v>
      </c>
      <c r="C478">
        <v>4.2469000000000001</v>
      </c>
      <c r="E478" s="1"/>
      <c r="F478" s="12"/>
    </row>
    <row r="479" spans="1:6" x14ac:dyDescent="0.35">
      <c r="A479" s="12">
        <v>43861</v>
      </c>
      <c r="B479" s="12">
        <f t="shared" si="7"/>
        <v>43831</v>
      </c>
      <c r="C479">
        <v>4.2689000000000004</v>
      </c>
      <c r="E479" s="1"/>
      <c r="F479" s="12"/>
    </row>
    <row r="480" spans="1:6" x14ac:dyDescent="0.35">
      <c r="A480" s="12">
        <v>43860</v>
      </c>
      <c r="B480" s="12">
        <f t="shared" si="7"/>
        <v>43831</v>
      </c>
      <c r="C480">
        <v>4.2516999999999996</v>
      </c>
      <c r="E480" s="1"/>
      <c r="F480" s="12"/>
    </row>
    <row r="481" spans="1:6" x14ac:dyDescent="0.35">
      <c r="A481" s="12">
        <v>43859</v>
      </c>
      <c r="B481" s="12">
        <f t="shared" si="7"/>
        <v>43831</v>
      </c>
      <c r="C481">
        <v>4.2007000000000003</v>
      </c>
      <c r="E481" s="1"/>
      <c r="F481" s="12"/>
    </row>
    <row r="482" spans="1:6" x14ac:dyDescent="0.35">
      <c r="A482" s="12">
        <v>43858</v>
      </c>
      <c r="B482" s="12">
        <f t="shared" si="7"/>
        <v>43831</v>
      </c>
      <c r="C482">
        <v>4.2058</v>
      </c>
      <c r="E482" s="1"/>
      <c r="F482" s="12"/>
    </row>
    <row r="483" spans="1:6" x14ac:dyDescent="0.35">
      <c r="A483" s="12">
        <v>43857</v>
      </c>
      <c r="B483" s="12">
        <f t="shared" si="7"/>
        <v>43831</v>
      </c>
      <c r="C483">
        <v>4.2190000000000003</v>
      </c>
      <c r="E483" s="1"/>
      <c r="F483" s="12"/>
    </row>
    <row r="484" spans="1:6" x14ac:dyDescent="0.35">
      <c r="A484" s="12">
        <v>43854</v>
      </c>
      <c r="B484" s="12">
        <f t="shared" si="7"/>
        <v>43831</v>
      </c>
      <c r="C484">
        <v>4.1763000000000003</v>
      </c>
      <c r="E484" s="1"/>
      <c r="F484" s="12"/>
    </row>
    <row r="485" spans="1:6" x14ac:dyDescent="0.35">
      <c r="A485" s="12">
        <v>43853</v>
      </c>
      <c r="B485" s="12">
        <f t="shared" si="7"/>
        <v>43831</v>
      </c>
      <c r="C485">
        <v>4.1656000000000004</v>
      </c>
      <c r="E485" s="1"/>
      <c r="F485" s="12"/>
    </row>
    <row r="486" spans="1:6" x14ac:dyDescent="0.35">
      <c r="A486" s="12">
        <v>43852</v>
      </c>
      <c r="B486" s="12">
        <f t="shared" si="7"/>
        <v>43831</v>
      </c>
      <c r="C486">
        <v>4.1882999999999999</v>
      </c>
      <c r="E486" s="1"/>
      <c r="F486" s="12"/>
    </row>
    <row r="487" spans="1:6" x14ac:dyDescent="0.35">
      <c r="A487" s="12">
        <v>43851</v>
      </c>
      <c r="B487" s="12">
        <f t="shared" si="7"/>
        <v>43831</v>
      </c>
      <c r="C487">
        <v>4.2008000000000001</v>
      </c>
      <c r="E487" s="1"/>
      <c r="F487" s="12"/>
    </row>
    <row r="488" spans="1:6" x14ac:dyDescent="0.35">
      <c r="A488" s="12">
        <v>43850</v>
      </c>
      <c r="B488" s="12">
        <f t="shared" si="7"/>
        <v>43831</v>
      </c>
      <c r="C488">
        <v>4.1822999999999997</v>
      </c>
      <c r="E488" s="1"/>
      <c r="F488" s="12"/>
    </row>
    <row r="489" spans="1:6" x14ac:dyDescent="0.35">
      <c r="A489" s="12">
        <v>43847</v>
      </c>
      <c r="B489" s="12">
        <f t="shared" si="7"/>
        <v>43831</v>
      </c>
      <c r="C489">
        <v>4.1830999999999996</v>
      </c>
      <c r="E489" s="1"/>
      <c r="F489" s="12"/>
    </row>
    <row r="490" spans="1:6" x14ac:dyDescent="0.35">
      <c r="A490" s="12">
        <v>43846</v>
      </c>
      <c r="B490" s="12">
        <f t="shared" si="7"/>
        <v>43831</v>
      </c>
      <c r="C490">
        <v>4.1719999999999997</v>
      </c>
      <c r="E490" s="1"/>
      <c r="F490" s="12"/>
    </row>
    <row r="491" spans="1:6" x14ac:dyDescent="0.35">
      <c r="A491" s="12">
        <v>43845</v>
      </c>
      <c r="B491" s="12">
        <f t="shared" si="7"/>
        <v>43831</v>
      </c>
      <c r="C491">
        <v>4.1616</v>
      </c>
      <c r="E491" s="1"/>
      <c r="F491" s="12"/>
    </row>
    <row r="492" spans="1:6" x14ac:dyDescent="0.35">
      <c r="A492" s="12">
        <v>43844</v>
      </c>
      <c r="B492" s="12">
        <f t="shared" si="7"/>
        <v>43831</v>
      </c>
      <c r="C492">
        <v>4.1436999999999999</v>
      </c>
      <c r="E492" s="1"/>
      <c r="F492" s="12"/>
    </row>
    <row r="493" spans="1:6" x14ac:dyDescent="0.35">
      <c r="A493" s="12">
        <v>43843</v>
      </c>
      <c r="B493" s="12">
        <f t="shared" si="7"/>
        <v>43831</v>
      </c>
      <c r="C493">
        <v>4.1303000000000001</v>
      </c>
      <c r="E493" s="1"/>
      <c r="F493" s="12"/>
    </row>
    <row r="494" spans="1:6" x14ac:dyDescent="0.35">
      <c r="A494" s="12">
        <v>43840</v>
      </c>
      <c r="B494" s="12">
        <f t="shared" si="7"/>
        <v>43831</v>
      </c>
      <c r="C494">
        <v>4.0739000000000001</v>
      </c>
      <c r="E494" s="1"/>
      <c r="F494" s="12"/>
    </row>
    <row r="495" spans="1:6" x14ac:dyDescent="0.35">
      <c r="A495" s="12">
        <v>43839</v>
      </c>
      <c r="B495" s="12">
        <f t="shared" si="7"/>
        <v>43831</v>
      </c>
      <c r="C495">
        <v>4.0738000000000003</v>
      </c>
      <c r="E495" s="1"/>
      <c r="F495" s="12"/>
    </row>
    <row r="496" spans="1:6" x14ac:dyDescent="0.35">
      <c r="A496" s="12">
        <v>43838</v>
      </c>
      <c r="B496" s="12">
        <f t="shared" si="7"/>
        <v>43831</v>
      </c>
      <c r="C496">
        <v>4.0666000000000002</v>
      </c>
      <c r="E496" s="1"/>
      <c r="F496" s="12"/>
    </row>
    <row r="497" spans="1:6" x14ac:dyDescent="0.35">
      <c r="A497" s="12">
        <v>43837</v>
      </c>
      <c r="B497" s="12">
        <f t="shared" si="7"/>
        <v>43831</v>
      </c>
      <c r="C497">
        <v>4.0834999999999999</v>
      </c>
      <c r="E497" s="1"/>
      <c r="F497" s="12"/>
    </row>
    <row r="498" spans="1:6" x14ac:dyDescent="0.35">
      <c r="A498" s="12">
        <v>43836</v>
      </c>
      <c r="B498" s="12">
        <f t="shared" si="7"/>
        <v>43831</v>
      </c>
      <c r="C498">
        <v>4.0548000000000002</v>
      </c>
      <c r="E498" s="1"/>
      <c r="F498" s="12"/>
    </row>
    <row r="499" spans="1:6" x14ac:dyDescent="0.35">
      <c r="A499" s="12">
        <v>43833</v>
      </c>
      <c r="B499" s="12">
        <f t="shared" si="7"/>
        <v>43831</v>
      </c>
      <c r="C499">
        <v>4.0515999999999996</v>
      </c>
      <c r="E499" s="1"/>
      <c r="F499" s="12"/>
    </row>
    <row r="500" spans="1:6" x14ac:dyDescent="0.35">
      <c r="A500" s="12">
        <v>43832</v>
      </c>
      <c r="B500" s="12">
        <f t="shared" si="7"/>
        <v>43831</v>
      </c>
      <c r="C500">
        <v>4.0206999999999997</v>
      </c>
      <c r="E500" s="1"/>
      <c r="F500" s="12"/>
    </row>
    <row r="501" spans="1:6" x14ac:dyDescent="0.35">
      <c r="A501" s="12">
        <v>43830</v>
      </c>
      <c r="B501" s="12">
        <f t="shared" si="7"/>
        <v>43800</v>
      </c>
      <c r="C501">
        <v>4.0301</v>
      </c>
      <c r="E501" s="1"/>
      <c r="F501" s="12"/>
    </row>
    <row r="502" spans="1:6" x14ac:dyDescent="0.35">
      <c r="A502" s="12">
        <v>43829</v>
      </c>
      <c r="B502" s="12">
        <f t="shared" si="7"/>
        <v>43800</v>
      </c>
      <c r="C502">
        <v>4.0301</v>
      </c>
      <c r="E502" s="1"/>
      <c r="F502" s="12"/>
    </row>
    <row r="503" spans="1:6" x14ac:dyDescent="0.35">
      <c r="A503" s="12">
        <v>43826</v>
      </c>
      <c r="B503" s="12">
        <f t="shared" si="7"/>
        <v>43800</v>
      </c>
      <c r="C503">
        <v>4.0538999999999996</v>
      </c>
      <c r="E503" s="1"/>
      <c r="F503" s="12"/>
    </row>
    <row r="504" spans="1:6" x14ac:dyDescent="0.35">
      <c r="A504" s="12">
        <v>43825</v>
      </c>
      <c r="B504" s="12">
        <f t="shared" si="7"/>
        <v>43800</v>
      </c>
      <c r="C504">
        <v>4.0594999999999999</v>
      </c>
      <c r="E504" s="1"/>
      <c r="F504" s="12"/>
    </row>
    <row r="505" spans="1:6" x14ac:dyDescent="0.35">
      <c r="A505" s="12">
        <v>43823</v>
      </c>
      <c r="B505" s="12">
        <f t="shared" si="7"/>
        <v>43800</v>
      </c>
      <c r="C505">
        <v>4.0792999999999999</v>
      </c>
      <c r="E505" s="1"/>
      <c r="F505" s="12"/>
    </row>
    <row r="506" spans="1:6" x14ac:dyDescent="0.35">
      <c r="A506" s="12">
        <v>43822</v>
      </c>
      <c r="B506" s="12">
        <f t="shared" si="7"/>
        <v>43800</v>
      </c>
      <c r="C506">
        <v>4.0750999999999999</v>
      </c>
      <c r="E506" s="1"/>
      <c r="F506" s="12"/>
    </row>
    <row r="507" spans="1:6" x14ac:dyDescent="0.35">
      <c r="A507" s="12">
        <v>43819</v>
      </c>
      <c r="B507" s="12">
        <f t="shared" si="7"/>
        <v>43800</v>
      </c>
      <c r="C507">
        <v>4.0770999999999997</v>
      </c>
      <c r="E507" s="1"/>
      <c r="F507" s="12"/>
    </row>
    <row r="508" spans="1:6" x14ac:dyDescent="0.35">
      <c r="A508" s="12">
        <v>43818</v>
      </c>
      <c r="B508" s="12">
        <f t="shared" si="7"/>
        <v>43800</v>
      </c>
      <c r="C508">
        <v>4.0627000000000004</v>
      </c>
      <c r="E508" s="1"/>
      <c r="F508" s="12"/>
    </row>
    <row r="509" spans="1:6" x14ac:dyDescent="0.35">
      <c r="A509" s="12">
        <v>43817</v>
      </c>
      <c r="B509" s="12">
        <f t="shared" si="7"/>
        <v>43800</v>
      </c>
      <c r="C509">
        <v>4.0541999999999998</v>
      </c>
      <c r="E509" s="1"/>
      <c r="F509" s="12"/>
    </row>
    <row r="510" spans="1:6" x14ac:dyDescent="0.35">
      <c r="A510" s="12">
        <v>43816</v>
      </c>
      <c r="B510" s="12">
        <f t="shared" si="7"/>
        <v>43800</v>
      </c>
      <c r="C510">
        <v>4.0681000000000003</v>
      </c>
      <c r="E510" s="1"/>
      <c r="F510" s="12"/>
    </row>
    <row r="511" spans="1:6" x14ac:dyDescent="0.35">
      <c r="A511" s="12">
        <v>43815</v>
      </c>
      <c r="B511" s="12">
        <f t="shared" si="7"/>
        <v>43800</v>
      </c>
      <c r="C511">
        <v>4.0795000000000003</v>
      </c>
      <c r="E511" s="1"/>
      <c r="F511" s="12"/>
    </row>
    <row r="512" spans="1:6" x14ac:dyDescent="0.35">
      <c r="A512" s="12">
        <v>43812</v>
      </c>
      <c r="B512" s="12">
        <f t="shared" si="7"/>
        <v>43800</v>
      </c>
      <c r="C512">
        <v>4.0942999999999996</v>
      </c>
      <c r="E512" s="1"/>
      <c r="F512" s="12"/>
    </row>
    <row r="513" spans="1:6" x14ac:dyDescent="0.35">
      <c r="A513" s="12">
        <v>43811</v>
      </c>
      <c r="B513" s="12">
        <f t="shared" si="7"/>
        <v>43800</v>
      </c>
      <c r="C513">
        <v>4.1086</v>
      </c>
      <c r="E513" s="1"/>
      <c r="F513" s="12"/>
    </row>
    <row r="514" spans="1:6" x14ac:dyDescent="0.35">
      <c r="A514" s="12">
        <v>43810</v>
      </c>
      <c r="B514" s="12">
        <f t="shared" si="7"/>
        <v>43800</v>
      </c>
      <c r="C514">
        <v>4.1147</v>
      </c>
      <c r="E514" s="1"/>
      <c r="F514" s="12"/>
    </row>
    <row r="515" spans="1:6" x14ac:dyDescent="0.35">
      <c r="A515" s="12">
        <v>43809</v>
      </c>
      <c r="B515" s="12">
        <f t="shared" ref="B515:B578" si="8">DATE(YEAR(A515),MONTH(A515),DAY(1))</f>
        <v>43800</v>
      </c>
      <c r="C515">
        <v>4.1421000000000001</v>
      </c>
      <c r="E515" s="1"/>
      <c r="F515" s="12"/>
    </row>
    <row r="516" spans="1:6" x14ac:dyDescent="0.35">
      <c r="A516" s="12">
        <v>43808</v>
      </c>
      <c r="B516" s="12">
        <f t="shared" si="8"/>
        <v>43800</v>
      </c>
      <c r="C516">
        <v>4.1497000000000002</v>
      </c>
      <c r="E516" s="1"/>
      <c r="F516" s="12"/>
    </row>
    <row r="517" spans="1:6" x14ac:dyDescent="0.35">
      <c r="A517" s="12">
        <v>43805</v>
      </c>
      <c r="B517" s="12">
        <f t="shared" si="8"/>
        <v>43800</v>
      </c>
      <c r="C517">
        <v>4.1776999999999997</v>
      </c>
      <c r="E517" s="1"/>
      <c r="F517" s="12"/>
    </row>
    <row r="518" spans="1:6" x14ac:dyDescent="0.35">
      <c r="A518" s="12">
        <v>43804</v>
      </c>
      <c r="B518" s="12">
        <f t="shared" si="8"/>
        <v>43800</v>
      </c>
      <c r="C518">
        <v>4.2130000000000001</v>
      </c>
      <c r="E518" s="1"/>
      <c r="F518" s="12"/>
    </row>
    <row r="519" spans="1:6" x14ac:dyDescent="0.35">
      <c r="A519" s="12">
        <v>43803</v>
      </c>
      <c r="B519" s="12">
        <f t="shared" si="8"/>
        <v>43800</v>
      </c>
      <c r="C519">
        <v>4.1920000000000002</v>
      </c>
      <c r="E519" s="1"/>
      <c r="F519" s="12"/>
    </row>
    <row r="520" spans="1:6" x14ac:dyDescent="0.35">
      <c r="A520" s="12">
        <v>43802</v>
      </c>
      <c r="B520" s="12">
        <f t="shared" si="8"/>
        <v>43800</v>
      </c>
      <c r="C520">
        <v>4.2001999999999997</v>
      </c>
      <c r="E520" s="1"/>
      <c r="F520" s="12"/>
    </row>
    <row r="521" spans="1:6" x14ac:dyDescent="0.35">
      <c r="A521" s="12">
        <v>43801</v>
      </c>
      <c r="B521" s="12">
        <f t="shared" si="8"/>
        <v>43800</v>
      </c>
      <c r="C521">
        <v>4.2255000000000003</v>
      </c>
      <c r="E521" s="1"/>
      <c r="F521" s="12"/>
    </row>
    <row r="522" spans="1:6" x14ac:dyDescent="0.35">
      <c r="A522" s="12">
        <v>43798</v>
      </c>
      <c r="B522" s="12">
        <f t="shared" si="8"/>
        <v>43770</v>
      </c>
      <c r="C522">
        <v>4.2233999999999998</v>
      </c>
      <c r="E522" s="1"/>
      <c r="F522" s="12"/>
    </row>
    <row r="523" spans="1:6" x14ac:dyDescent="0.35">
      <c r="A523" s="12">
        <v>43797</v>
      </c>
      <c r="B523" s="12">
        <f t="shared" si="8"/>
        <v>43770</v>
      </c>
      <c r="C523">
        <v>4.2473999999999998</v>
      </c>
      <c r="E523" s="1"/>
      <c r="F523" s="12"/>
    </row>
    <row r="524" spans="1:6" x14ac:dyDescent="0.35">
      <c r="A524" s="12">
        <v>43796</v>
      </c>
      <c r="B524" s="12">
        <f t="shared" si="8"/>
        <v>43770</v>
      </c>
      <c r="C524">
        <v>4.2595999999999998</v>
      </c>
      <c r="E524" s="1"/>
      <c r="F524" s="12"/>
    </row>
    <row r="525" spans="1:6" x14ac:dyDescent="0.35">
      <c r="A525" s="12">
        <v>43795</v>
      </c>
      <c r="B525" s="12">
        <f t="shared" si="8"/>
        <v>43770</v>
      </c>
      <c r="C525">
        <v>4.2553000000000001</v>
      </c>
      <c r="E525" s="1"/>
      <c r="F525" s="12"/>
    </row>
    <row r="526" spans="1:6" x14ac:dyDescent="0.35">
      <c r="A526" s="12">
        <v>43794</v>
      </c>
      <c r="B526" s="12">
        <f t="shared" si="8"/>
        <v>43770</v>
      </c>
      <c r="C526">
        <v>4.2083000000000004</v>
      </c>
      <c r="E526" s="1"/>
      <c r="F526" s="12"/>
    </row>
    <row r="527" spans="1:6" x14ac:dyDescent="0.35">
      <c r="A527" s="12">
        <v>43791</v>
      </c>
      <c r="B527" s="12">
        <f t="shared" si="8"/>
        <v>43770</v>
      </c>
      <c r="C527">
        <v>4.1825999999999999</v>
      </c>
      <c r="E527" s="1"/>
      <c r="F527" s="12"/>
    </row>
    <row r="528" spans="1:6" x14ac:dyDescent="0.35">
      <c r="A528" s="12">
        <v>43790</v>
      </c>
      <c r="B528" s="12">
        <f t="shared" si="8"/>
        <v>43770</v>
      </c>
      <c r="C528">
        <v>4.2005999999999997</v>
      </c>
      <c r="E528" s="1"/>
      <c r="F528" s="12"/>
    </row>
    <row r="529" spans="1:6" x14ac:dyDescent="0.35">
      <c r="A529" s="12">
        <v>43789</v>
      </c>
      <c r="B529" s="12">
        <f t="shared" si="8"/>
        <v>43770</v>
      </c>
      <c r="C529">
        <v>4.2027000000000001</v>
      </c>
      <c r="E529" s="1"/>
      <c r="F529" s="12"/>
    </row>
    <row r="530" spans="1:6" x14ac:dyDescent="0.35">
      <c r="A530" s="12">
        <v>43788</v>
      </c>
      <c r="B530" s="12">
        <f t="shared" si="8"/>
        <v>43770</v>
      </c>
      <c r="C530">
        <v>4.2077999999999998</v>
      </c>
      <c r="E530" s="1"/>
      <c r="F530" s="12"/>
    </row>
    <row r="531" spans="1:6" x14ac:dyDescent="0.35">
      <c r="A531" s="12">
        <v>43787</v>
      </c>
      <c r="B531" s="12">
        <f t="shared" si="8"/>
        <v>43770</v>
      </c>
      <c r="C531">
        <v>4.1821000000000002</v>
      </c>
      <c r="E531" s="1"/>
      <c r="F531" s="12"/>
    </row>
    <row r="532" spans="1:6" x14ac:dyDescent="0.35">
      <c r="A532" s="12">
        <v>43783</v>
      </c>
      <c r="B532" s="12">
        <f t="shared" si="8"/>
        <v>43770</v>
      </c>
      <c r="C532">
        <v>4.1825000000000001</v>
      </c>
      <c r="E532" s="1"/>
      <c r="F532" s="12"/>
    </row>
    <row r="533" spans="1:6" x14ac:dyDescent="0.35">
      <c r="A533" s="12">
        <v>43782</v>
      </c>
      <c r="B533" s="12">
        <f t="shared" si="8"/>
        <v>43770</v>
      </c>
      <c r="C533">
        <v>4.1760999999999999</v>
      </c>
      <c r="E533" s="1"/>
      <c r="F533" s="12"/>
    </row>
    <row r="534" spans="1:6" x14ac:dyDescent="0.35">
      <c r="A534" s="12">
        <v>43781</v>
      </c>
      <c r="B534" s="12">
        <f t="shared" si="8"/>
        <v>43770</v>
      </c>
      <c r="C534">
        <v>4.1749999999999998</v>
      </c>
      <c r="E534" s="1"/>
      <c r="F534" s="12"/>
    </row>
    <row r="535" spans="1:6" x14ac:dyDescent="0.35">
      <c r="A535" s="12">
        <v>43780</v>
      </c>
      <c r="B535" s="12">
        <f t="shared" si="8"/>
        <v>43770</v>
      </c>
      <c r="C535">
        <v>4.1553000000000004</v>
      </c>
      <c r="E535" s="1"/>
      <c r="F535" s="12"/>
    </row>
    <row r="536" spans="1:6" x14ac:dyDescent="0.35">
      <c r="A536" s="12">
        <v>43777</v>
      </c>
      <c r="B536" s="12">
        <f t="shared" si="8"/>
        <v>43770</v>
      </c>
      <c r="C536">
        <v>4.1359000000000004</v>
      </c>
      <c r="E536" s="1"/>
      <c r="F536" s="12"/>
    </row>
    <row r="537" spans="1:6" x14ac:dyDescent="0.35">
      <c r="A537" s="12">
        <v>43776</v>
      </c>
      <c r="B537" s="12">
        <f t="shared" si="8"/>
        <v>43770</v>
      </c>
      <c r="C537">
        <v>4.0921000000000003</v>
      </c>
      <c r="E537" s="1"/>
      <c r="F537" s="12"/>
    </row>
    <row r="538" spans="1:6" x14ac:dyDescent="0.35">
      <c r="A538" s="12">
        <v>43775</v>
      </c>
      <c r="B538" s="12">
        <f t="shared" si="8"/>
        <v>43770</v>
      </c>
      <c r="C538">
        <v>4.0345000000000004</v>
      </c>
      <c r="E538" s="1"/>
      <c r="F538" s="12"/>
    </row>
    <row r="539" spans="1:6" x14ac:dyDescent="0.35">
      <c r="A539" s="12">
        <v>43774</v>
      </c>
      <c r="B539" s="12">
        <f t="shared" si="8"/>
        <v>43770</v>
      </c>
      <c r="C539">
        <v>4.0037000000000003</v>
      </c>
      <c r="E539" s="1"/>
      <c r="F539" s="12"/>
    </row>
    <row r="540" spans="1:6" x14ac:dyDescent="0.35">
      <c r="A540" s="12">
        <v>43773</v>
      </c>
      <c r="B540" s="12">
        <f t="shared" si="8"/>
        <v>43770</v>
      </c>
      <c r="C540">
        <v>3.9916</v>
      </c>
      <c r="E540" s="1"/>
      <c r="F540" s="12"/>
    </row>
    <row r="541" spans="1:6" x14ac:dyDescent="0.35">
      <c r="A541" s="12">
        <v>43770</v>
      </c>
      <c r="B541" s="12">
        <f t="shared" si="8"/>
        <v>43770</v>
      </c>
      <c r="C541">
        <v>3.9780000000000002</v>
      </c>
      <c r="E541" s="1"/>
      <c r="F541" s="12"/>
    </row>
    <row r="542" spans="1:6" x14ac:dyDescent="0.35">
      <c r="A542" s="12">
        <v>43769</v>
      </c>
      <c r="B542" s="12">
        <f t="shared" si="8"/>
        <v>43739</v>
      </c>
      <c r="C542">
        <v>4.0034999999999998</v>
      </c>
      <c r="E542" s="1"/>
      <c r="F542" s="12"/>
    </row>
    <row r="543" spans="1:6" x14ac:dyDescent="0.35">
      <c r="A543" s="12">
        <v>43768</v>
      </c>
      <c r="B543" s="12">
        <f t="shared" si="8"/>
        <v>43739</v>
      </c>
      <c r="C543">
        <v>4.0179999999999998</v>
      </c>
      <c r="E543" s="1"/>
      <c r="F543" s="12"/>
    </row>
    <row r="544" spans="1:6" x14ac:dyDescent="0.35">
      <c r="A544" s="12">
        <v>43767</v>
      </c>
      <c r="B544" s="12">
        <f t="shared" si="8"/>
        <v>43739</v>
      </c>
      <c r="C544">
        <v>3.9940000000000002</v>
      </c>
      <c r="E544" s="1"/>
      <c r="F544" s="12"/>
    </row>
    <row r="545" spans="1:6" x14ac:dyDescent="0.35">
      <c r="A545" s="12">
        <v>43766</v>
      </c>
      <c r="B545" s="12">
        <f t="shared" si="8"/>
        <v>43739</v>
      </c>
      <c r="C545">
        <v>3.9786000000000001</v>
      </c>
      <c r="E545" s="1"/>
      <c r="F545" s="12"/>
    </row>
    <row r="546" spans="1:6" x14ac:dyDescent="0.35">
      <c r="A546" s="12">
        <v>43763</v>
      </c>
      <c r="B546" s="12">
        <f t="shared" si="8"/>
        <v>43739</v>
      </c>
      <c r="C546">
        <v>4.0126999999999997</v>
      </c>
      <c r="E546" s="1"/>
      <c r="F546" s="12"/>
    </row>
    <row r="547" spans="1:6" x14ac:dyDescent="0.35">
      <c r="A547" s="12">
        <v>43762</v>
      </c>
      <c r="B547" s="12">
        <f t="shared" si="8"/>
        <v>43739</v>
      </c>
      <c r="C547">
        <v>4.0083000000000002</v>
      </c>
      <c r="E547" s="1"/>
      <c r="F547" s="12"/>
    </row>
    <row r="548" spans="1:6" x14ac:dyDescent="0.35">
      <c r="A548" s="12">
        <v>43761</v>
      </c>
      <c r="B548" s="12">
        <f t="shared" si="8"/>
        <v>43739</v>
      </c>
      <c r="C548">
        <v>4.0715000000000003</v>
      </c>
      <c r="E548" s="1"/>
      <c r="F548" s="12"/>
    </row>
    <row r="549" spans="1:6" x14ac:dyDescent="0.35">
      <c r="A549" s="12">
        <v>43760</v>
      </c>
      <c r="B549" s="12">
        <f t="shared" si="8"/>
        <v>43739</v>
      </c>
      <c r="C549">
        <v>4.0852000000000004</v>
      </c>
      <c r="E549" s="1"/>
      <c r="F549" s="12"/>
    </row>
    <row r="550" spans="1:6" x14ac:dyDescent="0.35">
      <c r="A550" s="12">
        <v>43759</v>
      </c>
      <c r="B550" s="12">
        <f t="shared" si="8"/>
        <v>43739</v>
      </c>
      <c r="C550">
        <v>4.1313000000000004</v>
      </c>
      <c r="E550" s="1"/>
      <c r="F550" s="12"/>
    </row>
    <row r="551" spans="1:6" x14ac:dyDescent="0.35">
      <c r="A551" s="12">
        <v>43756</v>
      </c>
      <c r="B551" s="12">
        <f t="shared" si="8"/>
        <v>43739</v>
      </c>
      <c r="C551">
        <v>4.1369999999999996</v>
      </c>
      <c r="E551" s="1"/>
      <c r="F551" s="12"/>
    </row>
    <row r="552" spans="1:6" x14ac:dyDescent="0.35">
      <c r="A552" s="12">
        <v>43755</v>
      </c>
      <c r="B552" s="12">
        <f t="shared" si="8"/>
        <v>43739</v>
      </c>
      <c r="C552">
        <v>4.1452</v>
      </c>
      <c r="E552" s="1"/>
      <c r="F552" s="12"/>
    </row>
    <row r="553" spans="1:6" x14ac:dyDescent="0.35">
      <c r="A553" s="12">
        <v>43754</v>
      </c>
      <c r="B553" s="12">
        <f t="shared" si="8"/>
        <v>43739</v>
      </c>
      <c r="C553">
        <v>4.1707999999999998</v>
      </c>
      <c r="E553" s="1"/>
      <c r="F553" s="12"/>
    </row>
    <row r="554" spans="1:6" x14ac:dyDescent="0.35">
      <c r="A554" s="12">
        <v>43753</v>
      </c>
      <c r="B554" s="12">
        <f t="shared" si="8"/>
        <v>43739</v>
      </c>
      <c r="C554">
        <v>4.1482000000000001</v>
      </c>
      <c r="E554" s="1"/>
      <c r="F554" s="12"/>
    </row>
    <row r="555" spans="1:6" x14ac:dyDescent="0.35">
      <c r="A555" s="12">
        <v>43752</v>
      </c>
      <c r="B555" s="12">
        <f t="shared" si="8"/>
        <v>43739</v>
      </c>
      <c r="C555">
        <v>4.1257000000000001</v>
      </c>
      <c r="E555" s="1"/>
      <c r="F555" s="12"/>
    </row>
    <row r="556" spans="1:6" x14ac:dyDescent="0.35">
      <c r="A556" s="12">
        <v>43749</v>
      </c>
      <c r="B556" s="12">
        <f t="shared" si="8"/>
        <v>43739</v>
      </c>
      <c r="C556">
        <v>4.1054000000000004</v>
      </c>
      <c r="E556" s="1"/>
      <c r="F556" s="12"/>
    </row>
    <row r="557" spans="1:6" x14ac:dyDescent="0.35">
      <c r="A557" s="12">
        <v>43748</v>
      </c>
      <c r="B557" s="12">
        <f t="shared" si="8"/>
        <v>43739</v>
      </c>
      <c r="C557">
        <v>4.1139000000000001</v>
      </c>
    </row>
    <row r="558" spans="1:6" x14ac:dyDescent="0.35">
      <c r="A558" s="12">
        <v>43747</v>
      </c>
      <c r="B558" s="12">
        <f t="shared" si="8"/>
        <v>43739</v>
      </c>
      <c r="C558">
        <v>4.0948000000000002</v>
      </c>
    </row>
    <row r="559" spans="1:6" x14ac:dyDescent="0.35">
      <c r="A559" s="12">
        <v>43746</v>
      </c>
      <c r="B559" s="12">
        <f t="shared" si="8"/>
        <v>43739</v>
      </c>
      <c r="C559">
        <v>4.0861999999999998</v>
      </c>
    </row>
    <row r="560" spans="1:6" x14ac:dyDescent="0.35">
      <c r="A560" s="12">
        <v>43745</v>
      </c>
      <c r="B560" s="12">
        <f t="shared" si="8"/>
        <v>43739</v>
      </c>
      <c r="C560">
        <v>4.0682</v>
      </c>
    </row>
    <row r="561" spans="1:3" x14ac:dyDescent="0.35">
      <c r="A561" s="12">
        <v>43742</v>
      </c>
      <c r="B561" s="12">
        <f t="shared" si="8"/>
        <v>43739</v>
      </c>
      <c r="C561">
        <v>4.0603999999999996</v>
      </c>
    </row>
    <row r="562" spans="1:3" x14ac:dyDescent="0.35">
      <c r="A562" s="12">
        <v>43741</v>
      </c>
      <c r="B562" s="12">
        <f t="shared" si="8"/>
        <v>43739</v>
      </c>
      <c r="C562">
        <v>4.1006</v>
      </c>
    </row>
    <row r="563" spans="1:3" x14ac:dyDescent="0.35">
      <c r="A563" s="12">
        <v>43740</v>
      </c>
      <c r="B563" s="12">
        <f t="shared" si="8"/>
        <v>43739</v>
      </c>
      <c r="C563">
        <v>4.1539999999999999</v>
      </c>
    </row>
    <row r="564" spans="1:3" x14ac:dyDescent="0.35">
      <c r="A564" s="12">
        <v>43739</v>
      </c>
      <c r="B564" s="12">
        <f t="shared" si="8"/>
        <v>43739</v>
      </c>
      <c r="C564">
        <v>4.1734</v>
      </c>
    </row>
    <row r="565" spans="1:3" x14ac:dyDescent="0.35">
      <c r="A565" s="12">
        <v>43738</v>
      </c>
      <c r="B565" s="12">
        <f t="shared" si="8"/>
        <v>43709</v>
      </c>
      <c r="C565">
        <v>4.1638000000000002</v>
      </c>
    </row>
    <row r="566" spans="1:3" x14ac:dyDescent="0.35">
      <c r="A566" s="12">
        <v>43735</v>
      </c>
      <c r="B566" s="12">
        <f t="shared" si="8"/>
        <v>43709</v>
      </c>
      <c r="C566">
        <v>4.1581000000000001</v>
      </c>
    </row>
    <row r="567" spans="1:3" x14ac:dyDescent="0.35">
      <c r="A567" s="12">
        <v>43734</v>
      </c>
      <c r="B567" s="12">
        <f t="shared" si="8"/>
        <v>43709</v>
      </c>
      <c r="C567">
        <v>4.1463000000000001</v>
      </c>
    </row>
    <row r="568" spans="1:3" x14ac:dyDescent="0.35">
      <c r="A568" s="12">
        <v>43733</v>
      </c>
      <c r="B568" s="12">
        <f t="shared" si="8"/>
        <v>43709</v>
      </c>
      <c r="C568">
        <v>4.1821000000000002</v>
      </c>
    </row>
    <row r="569" spans="1:3" x14ac:dyDescent="0.35">
      <c r="A569" s="12">
        <v>43732</v>
      </c>
      <c r="B569" s="12">
        <f t="shared" si="8"/>
        <v>43709</v>
      </c>
      <c r="C569">
        <v>4.1715</v>
      </c>
    </row>
    <row r="570" spans="1:3" x14ac:dyDescent="0.35">
      <c r="A570" s="12">
        <v>43731</v>
      </c>
      <c r="B570" s="12">
        <f t="shared" si="8"/>
        <v>43709</v>
      </c>
      <c r="C570">
        <v>4.1727999999999996</v>
      </c>
    </row>
    <row r="571" spans="1:3" x14ac:dyDescent="0.35">
      <c r="A571" s="12">
        <v>43728</v>
      </c>
      <c r="B571" s="12">
        <f t="shared" si="8"/>
        <v>43709</v>
      </c>
      <c r="C571">
        <v>4.1680999999999999</v>
      </c>
    </row>
    <row r="572" spans="1:3" x14ac:dyDescent="0.35">
      <c r="A572" s="12">
        <v>43727</v>
      </c>
      <c r="B572" s="12">
        <f t="shared" si="8"/>
        <v>43709</v>
      </c>
      <c r="C572">
        <v>4.1387</v>
      </c>
    </row>
    <row r="573" spans="1:3" x14ac:dyDescent="0.35">
      <c r="A573" s="12">
        <v>43726</v>
      </c>
      <c r="B573" s="12">
        <f t="shared" si="8"/>
        <v>43709</v>
      </c>
      <c r="C573">
        <v>4.0965999999999996</v>
      </c>
    </row>
    <row r="574" spans="1:3" x14ac:dyDescent="0.35">
      <c r="A574" s="12">
        <v>43725</v>
      </c>
      <c r="B574" s="12">
        <f t="shared" si="8"/>
        <v>43709</v>
      </c>
      <c r="C574">
        <v>4.0991999999999997</v>
      </c>
    </row>
    <row r="575" spans="1:3" x14ac:dyDescent="0.35">
      <c r="A575" s="12">
        <v>43724</v>
      </c>
      <c r="B575" s="12">
        <f t="shared" si="8"/>
        <v>43709</v>
      </c>
      <c r="C575">
        <v>4.0865999999999998</v>
      </c>
    </row>
    <row r="576" spans="1:3" x14ac:dyDescent="0.35">
      <c r="A576" s="12">
        <v>43721</v>
      </c>
      <c r="B576" s="12">
        <f t="shared" si="8"/>
        <v>43709</v>
      </c>
      <c r="C576">
        <v>4.0609999999999999</v>
      </c>
    </row>
    <row r="577" spans="1:3" x14ac:dyDescent="0.35">
      <c r="A577" s="12">
        <v>43720</v>
      </c>
      <c r="B577" s="12">
        <f t="shared" si="8"/>
        <v>43709</v>
      </c>
      <c r="C577">
        <v>4.0488</v>
      </c>
    </row>
    <row r="578" spans="1:3" x14ac:dyDescent="0.35">
      <c r="A578" s="12">
        <v>43719</v>
      </c>
      <c r="B578" s="12">
        <f t="shared" si="8"/>
        <v>43709</v>
      </c>
      <c r="C578">
        <v>4.0625</v>
      </c>
    </row>
    <row r="579" spans="1:3" x14ac:dyDescent="0.35">
      <c r="A579" s="12">
        <v>43718</v>
      </c>
      <c r="B579" s="12">
        <f t="shared" ref="B579:B642" si="9">DATE(YEAR(A579),MONTH(A579),DAY(1))</f>
        <v>43709</v>
      </c>
      <c r="C579">
        <v>4.1101999999999999</v>
      </c>
    </row>
    <row r="580" spans="1:3" x14ac:dyDescent="0.35">
      <c r="A580" s="12">
        <v>43717</v>
      </c>
      <c r="B580" s="12">
        <f t="shared" si="9"/>
        <v>43709</v>
      </c>
      <c r="C580">
        <v>4.0759999999999996</v>
      </c>
    </row>
    <row r="581" spans="1:3" x14ac:dyDescent="0.35">
      <c r="A581" s="12">
        <v>43714</v>
      </c>
      <c r="B581" s="12">
        <f t="shared" si="9"/>
        <v>43709</v>
      </c>
      <c r="C581">
        <v>4.0644</v>
      </c>
    </row>
    <row r="582" spans="1:3" x14ac:dyDescent="0.35">
      <c r="A582" s="12">
        <v>43713</v>
      </c>
      <c r="B582" s="12">
        <f t="shared" si="9"/>
        <v>43709</v>
      </c>
      <c r="C582">
        <v>4.0853000000000002</v>
      </c>
    </row>
    <row r="583" spans="1:3" x14ac:dyDescent="0.35">
      <c r="A583" s="12">
        <v>43712</v>
      </c>
      <c r="B583" s="12">
        <f t="shared" si="9"/>
        <v>43709</v>
      </c>
      <c r="C583">
        <v>4.1242999999999999</v>
      </c>
    </row>
    <row r="584" spans="1:3" x14ac:dyDescent="0.35">
      <c r="A584" s="12">
        <v>43711</v>
      </c>
      <c r="B584" s="12">
        <f t="shared" si="9"/>
        <v>43709</v>
      </c>
      <c r="C584">
        <v>4.1650999999999998</v>
      </c>
    </row>
    <row r="585" spans="1:3" x14ac:dyDescent="0.35">
      <c r="A585" s="12">
        <v>43710</v>
      </c>
      <c r="B585" s="12">
        <f t="shared" si="9"/>
        <v>43709</v>
      </c>
      <c r="C585">
        <v>4.1574999999999998</v>
      </c>
    </row>
    <row r="586" spans="1:3" x14ac:dyDescent="0.35">
      <c r="A586" s="12">
        <v>43707</v>
      </c>
      <c r="B586" s="12">
        <f t="shared" si="9"/>
        <v>43678</v>
      </c>
      <c r="C586">
        <v>4.1379000000000001</v>
      </c>
    </row>
    <row r="587" spans="1:3" x14ac:dyDescent="0.35">
      <c r="A587" s="12">
        <v>43706</v>
      </c>
      <c r="B587" s="12">
        <f t="shared" si="9"/>
        <v>43678</v>
      </c>
      <c r="C587">
        <v>4.1673999999999998</v>
      </c>
    </row>
    <row r="588" spans="1:3" x14ac:dyDescent="0.35">
      <c r="A588" s="12">
        <v>43705</v>
      </c>
      <c r="B588" s="12">
        <f t="shared" si="9"/>
        <v>43678</v>
      </c>
      <c r="C588">
        <v>4.1553000000000004</v>
      </c>
    </row>
    <row r="589" spans="1:3" x14ac:dyDescent="0.35">
      <c r="A589" s="12">
        <v>43704</v>
      </c>
      <c r="B589" s="12">
        <f t="shared" si="9"/>
        <v>43678</v>
      </c>
      <c r="C589">
        <v>4.1551</v>
      </c>
    </row>
    <row r="590" spans="1:3" x14ac:dyDescent="0.35">
      <c r="A590" s="12">
        <v>43703</v>
      </c>
      <c r="B590" s="12">
        <f t="shared" si="9"/>
        <v>43678</v>
      </c>
      <c r="C590">
        <v>4.1360999999999999</v>
      </c>
    </row>
    <row r="591" spans="1:3" x14ac:dyDescent="0.35">
      <c r="A591" s="12">
        <v>43700</v>
      </c>
      <c r="B591" s="12">
        <f t="shared" si="9"/>
        <v>43678</v>
      </c>
      <c r="C591">
        <v>4.0845000000000002</v>
      </c>
    </row>
    <row r="592" spans="1:3" x14ac:dyDescent="0.35">
      <c r="A592" s="12">
        <v>43699</v>
      </c>
      <c r="B592" s="12">
        <f t="shared" si="9"/>
        <v>43678</v>
      </c>
      <c r="C592">
        <v>4.0438000000000001</v>
      </c>
    </row>
    <row r="593" spans="1:3" x14ac:dyDescent="0.35">
      <c r="A593" s="12">
        <v>43698</v>
      </c>
      <c r="B593" s="12">
        <f t="shared" si="9"/>
        <v>43678</v>
      </c>
      <c r="C593">
        <v>4.0247999999999999</v>
      </c>
    </row>
    <row r="594" spans="1:3" x14ac:dyDescent="0.35">
      <c r="A594" s="12">
        <v>43697</v>
      </c>
      <c r="B594" s="12">
        <f t="shared" si="9"/>
        <v>43678</v>
      </c>
      <c r="C594">
        <v>4.0419</v>
      </c>
    </row>
    <row r="595" spans="1:3" x14ac:dyDescent="0.35">
      <c r="A595" s="12">
        <v>43696</v>
      </c>
      <c r="B595" s="12">
        <f t="shared" si="9"/>
        <v>43678</v>
      </c>
      <c r="C595">
        <v>4.0267999999999997</v>
      </c>
    </row>
    <row r="596" spans="1:3" x14ac:dyDescent="0.35">
      <c r="A596" s="12">
        <v>43693</v>
      </c>
      <c r="B596" s="12">
        <f t="shared" si="9"/>
        <v>43678</v>
      </c>
      <c r="C596">
        <v>3.9927000000000001</v>
      </c>
    </row>
    <row r="597" spans="1:3" x14ac:dyDescent="0.35">
      <c r="A597" s="12">
        <v>43692</v>
      </c>
      <c r="B597" s="12">
        <f t="shared" si="9"/>
        <v>43678</v>
      </c>
      <c r="C597">
        <v>4.0182000000000002</v>
      </c>
    </row>
    <row r="598" spans="1:3" x14ac:dyDescent="0.35">
      <c r="A598" s="12">
        <v>43691</v>
      </c>
      <c r="B598" s="12">
        <f t="shared" si="9"/>
        <v>43678</v>
      </c>
      <c r="C598">
        <v>4.0068000000000001</v>
      </c>
    </row>
    <row r="599" spans="1:3" x14ac:dyDescent="0.35">
      <c r="A599" s="12">
        <v>43690</v>
      </c>
      <c r="B599" s="12">
        <f t="shared" si="9"/>
        <v>43678</v>
      </c>
      <c r="C599">
        <v>3.9729999999999999</v>
      </c>
    </row>
    <row r="600" spans="1:3" x14ac:dyDescent="0.35">
      <c r="A600" s="12">
        <v>43689</v>
      </c>
      <c r="B600" s="12">
        <f t="shared" si="9"/>
        <v>43678</v>
      </c>
      <c r="C600">
        <v>3.996</v>
      </c>
    </row>
    <row r="601" spans="1:3" x14ac:dyDescent="0.35">
      <c r="A601" s="12">
        <v>43686</v>
      </c>
      <c r="B601" s="12">
        <f t="shared" si="9"/>
        <v>43678</v>
      </c>
      <c r="C601">
        <v>3.9356</v>
      </c>
    </row>
    <row r="602" spans="1:3" x14ac:dyDescent="0.35">
      <c r="A602" s="12">
        <v>43685</v>
      </c>
      <c r="B602" s="12">
        <f t="shared" si="9"/>
        <v>43678</v>
      </c>
      <c r="C602">
        <v>3.9403000000000001</v>
      </c>
    </row>
    <row r="603" spans="1:3" x14ac:dyDescent="0.35">
      <c r="A603" s="12">
        <v>43684</v>
      </c>
      <c r="B603" s="12">
        <f t="shared" si="9"/>
        <v>43678</v>
      </c>
      <c r="C603">
        <v>3.9843999999999999</v>
      </c>
    </row>
    <row r="604" spans="1:3" x14ac:dyDescent="0.35">
      <c r="A604" s="12">
        <v>43683</v>
      </c>
      <c r="B604" s="12">
        <f t="shared" si="9"/>
        <v>43678</v>
      </c>
      <c r="C604">
        <v>3.9636999999999998</v>
      </c>
    </row>
    <row r="605" spans="1:3" x14ac:dyDescent="0.35">
      <c r="A605" s="12">
        <v>43682</v>
      </c>
      <c r="B605" s="12">
        <f t="shared" si="9"/>
        <v>43678</v>
      </c>
      <c r="C605">
        <v>3.9398</v>
      </c>
    </row>
    <row r="606" spans="1:3" x14ac:dyDescent="0.35">
      <c r="A606" s="12">
        <v>43679</v>
      </c>
      <c r="B606" s="12">
        <f t="shared" si="9"/>
        <v>43678</v>
      </c>
      <c r="C606">
        <v>3.8733</v>
      </c>
    </row>
    <row r="607" spans="1:3" x14ac:dyDescent="0.35">
      <c r="A607" s="12">
        <v>43678</v>
      </c>
      <c r="B607" s="12">
        <f t="shared" si="9"/>
        <v>43678</v>
      </c>
      <c r="C607">
        <v>3.8290000000000002</v>
      </c>
    </row>
    <row r="608" spans="1:3" x14ac:dyDescent="0.35">
      <c r="A608" s="12">
        <v>43677</v>
      </c>
      <c r="B608" s="12">
        <f t="shared" si="9"/>
        <v>43647</v>
      </c>
      <c r="C608">
        <v>3.7643</v>
      </c>
    </row>
    <row r="609" spans="1:3" x14ac:dyDescent="0.35">
      <c r="A609" s="12">
        <v>43676</v>
      </c>
      <c r="B609" s="12">
        <f t="shared" si="9"/>
        <v>43647</v>
      </c>
      <c r="C609">
        <v>3.7894000000000001</v>
      </c>
    </row>
    <row r="610" spans="1:3" x14ac:dyDescent="0.35">
      <c r="A610" s="12">
        <v>43675</v>
      </c>
      <c r="B610" s="12">
        <f t="shared" si="9"/>
        <v>43647</v>
      </c>
      <c r="C610">
        <v>3.7902999999999998</v>
      </c>
    </row>
    <row r="611" spans="1:3" x14ac:dyDescent="0.35">
      <c r="A611" s="12">
        <v>43672</v>
      </c>
      <c r="B611" s="12">
        <f t="shared" si="9"/>
        <v>43647</v>
      </c>
      <c r="C611">
        <v>3.7734999999999999</v>
      </c>
    </row>
    <row r="612" spans="1:3" x14ac:dyDescent="0.35">
      <c r="A612" s="12">
        <v>43671</v>
      </c>
      <c r="B612" s="12">
        <f t="shared" si="9"/>
        <v>43647</v>
      </c>
      <c r="C612">
        <v>3.7843</v>
      </c>
    </row>
    <row r="613" spans="1:3" x14ac:dyDescent="0.35">
      <c r="A613" s="12">
        <v>43670</v>
      </c>
      <c r="B613" s="12">
        <f t="shared" si="9"/>
        <v>43647</v>
      </c>
      <c r="C613">
        <v>3.7589999999999999</v>
      </c>
    </row>
    <row r="614" spans="1:3" x14ac:dyDescent="0.35">
      <c r="A614" s="12">
        <v>43669</v>
      </c>
      <c r="B614" s="12">
        <f t="shared" si="9"/>
        <v>43647</v>
      </c>
      <c r="C614">
        <v>3.7614999999999998</v>
      </c>
    </row>
    <row r="615" spans="1:3" x14ac:dyDescent="0.35">
      <c r="A615" s="12">
        <v>43668</v>
      </c>
      <c r="B615" s="12">
        <f t="shared" si="9"/>
        <v>43647</v>
      </c>
      <c r="C615">
        <v>3.7393999999999998</v>
      </c>
    </row>
    <row r="616" spans="1:3" x14ac:dyDescent="0.35">
      <c r="A616" s="12">
        <v>43665</v>
      </c>
      <c r="B616" s="12">
        <f t="shared" si="9"/>
        <v>43647</v>
      </c>
      <c r="C616">
        <v>3.7402000000000002</v>
      </c>
    </row>
    <row r="617" spans="1:3" x14ac:dyDescent="0.35">
      <c r="A617" s="12">
        <v>43664</v>
      </c>
      <c r="B617" s="12">
        <f t="shared" si="9"/>
        <v>43647</v>
      </c>
      <c r="C617">
        <v>3.7483</v>
      </c>
    </row>
    <row r="618" spans="1:3" x14ac:dyDescent="0.35">
      <c r="A618" s="12">
        <v>43663</v>
      </c>
      <c r="B618" s="12">
        <f t="shared" si="9"/>
        <v>43647</v>
      </c>
      <c r="C618">
        <v>3.7612000000000001</v>
      </c>
    </row>
    <row r="619" spans="1:3" x14ac:dyDescent="0.35">
      <c r="A619" s="12">
        <v>43662</v>
      </c>
      <c r="B619" s="12">
        <f t="shared" si="9"/>
        <v>43647</v>
      </c>
      <c r="C619">
        <v>3.7618</v>
      </c>
    </row>
    <row r="620" spans="1:3" x14ac:dyDescent="0.35">
      <c r="A620" s="12">
        <v>43661</v>
      </c>
      <c r="B620" s="12">
        <f t="shared" si="9"/>
        <v>43647</v>
      </c>
      <c r="C620">
        <v>3.7456999999999998</v>
      </c>
    </row>
    <row r="621" spans="1:3" x14ac:dyDescent="0.35">
      <c r="A621" s="12">
        <v>43658</v>
      </c>
      <c r="B621" s="12">
        <f t="shared" si="9"/>
        <v>43647</v>
      </c>
      <c r="C621">
        <v>3.7446000000000002</v>
      </c>
    </row>
    <row r="622" spans="1:3" x14ac:dyDescent="0.35">
      <c r="A622" s="12">
        <v>43657</v>
      </c>
      <c r="B622" s="12">
        <f t="shared" si="9"/>
        <v>43647</v>
      </c>
      <c r="C622">
        <v>3.7526999999999999</v>
      </c>
    </row>
    <row r="623" spans="1:3" x14ac:dyDescent="0.35">
      <c r="A623" s="12">
        <v>43656</v>
      </c>
      <c r="B623" s="12">
        <f t="shared" si="9"/>
        <v>43647</v>
      </c>
      <c r="C623">
        <v>3.7690999999999999</v>
      </c>
    </row>
    <row r="624" spans="1:3" x14ac:dyDescent="0.35">
      <c r="A624" s="12">
        <v>43655</v>
      </c>
      <c r="B624" s="12">
        <f t="shared" si="9"/>
        <v>43647</v>
      </c>
      <c r="C624">
        <v>3.7846000000000002</v>
      </c>
    </row>
    <row r="625" spans="1:3" x14ac:dyDescent="0.35">
      <c r="A625" s="12">
        <v>43654</v>
      </c>
      <c r="B625" s="12">
        <f t="shared" si="9"/>
        <v>43647</v>
      </c>
      <c r="C625">
        <v>3.8058999999999998</v>
      </c>
    </row>
    <row r="626" spans="1:3" x14ac:dyDescent="0.35">
      <c r="A626" s="12">
        <v>43651</v>
      </c>
      <c r="B626" s="12">
        <f t="shared" si="9"/>
        <v>43647</v>
      </c>
      <c r="C626">
        <v>3.8197999999999999</v>
      </c>
    </row>
    <row r="627" spans="1:3" x14ac:dyDescent="0.35">
      <c r="A627" s="12">
        <v>43650</v>
      </c>
      <c r="B627" s="12">
        <f t="shared" si="9"/>
        <v>43647</v>
      </c>
      <c r="C627">
        <v>3.7934000000000001</v>
      </c>
    </row>
    <row r="628" spans="1:3" x14ac:dyDescent="0.35">
      <c r="A628" s="12">
        <v>43649</v>
      </c>
      <c r="B628" s="12">
        <f t="shared" si="9"/>
        <v>43647</v>
      </c>
      <c r="C628">
        <v>3.8469000000000002</v>
      </c>
    </row>
    <row r="629" spans="1:3" x14ac:dyDescent="0.35">
      <c r="A629" s="12">
        <v>43648</v>
      </c>
      <c r="B629" s="12">
        <f t="shared" si="9"/>
        <v>43647</v>
      </c>
      <c r="C629">
        <v>3.8557999999999999</v>
      </c>
    </row>
    <row r="630" spans="1:3" x14ac:dyDescent="0.35">
      <c r="A630" s="12">
        <v>43647</v>
      </c>
      <c r="B630" s="12">
        <f t="shared" si="9"/>
        <v>43647</v>
      </c>
      <c r="C630">
        <v>3.8187000000000002</v>
      </c>
    </row>
    <row r="631" spans="1:3" x14ac:dyDescent="0.35">
      <c r="A631" s="12">
        <v>43644</v>
      </c>
      <c r="B631" s="12">
        <f t="shared" si="9"/>
        <v>43617</v>
      </c>
      <c r="C631">
        <v>3.8315999999999999</v>
      </c>
    </row>
    <row r="632" spans="1:3" x14ac:dyDescent="0.35">
      <c r="A632" s="12">
        <v>43643</v>
      </c>
      <c r="B632" s="12">
        <f t="shared" si="9"/>
        <v>43617</v>
      </c>
      <c r="C632">
        <v>3.8635999999999999</v>
      </c>
    </row>
    <row r="633" spans="1:3" x14ac:dyDescent="0.35">
      <c r="A633" s="12">
        <v>43642</v>
      </c>
      <c r="B633" s="12">
        <f t="shared" si="9"/>
        <v>43617</v>
      </c>
      <c r="C633">
        <v>3.8435000000000001</v>
      </c>
    </row>
    <row r="634" spans="1:3" x14ac:dyDescent="0.35">
      <c r="A634" s="12">
        <v>43641</v>
      </c>
      <c r="B634" s="12">
        <f t="shared" si="9"/>
        <v>43617</v>
      </c>
      <c r="C634">
        <v>3.8296999999999999</v>
      </c>
    </row>
    <row r="635" spans="1:3" x14ac:dyDescent="0.35">
      <c r="A635" s="12">
        <v>43640</v>
      </c>
      <c r="B635" s="12">
        <f t="shared" si="9"/>
        <v>43617</v>
      </c>
      <c r="C635">
        <v>3.8228</v>
      </c>
    </row>
    <row r="636" spans="1:3" x14ac:dyDescent="0.35">
      <c r="A636" s="12">
        <v>43637</v>
      </c>
      <c r="B636" s="12">
        <f t="shared" si="9"/>
        <v>43617</v>
      </c>
      <c r="C636">
        <v>3.8249</v>
      </c>
    </row>
    <row r="637" spans="1:3" x14ac:dyDescent="0.35">
      <c r="A637" s="12">
        <v>43635</v>
      </c>
      <c r="B637" s="12">
        <f t="shared" si="9"/>
        <v>43617</v>
      </c>
      <c r="C637">
        <v>3.8717000000000001</v>
      </c>
    </row>
    <row r="638" spans="1:3" x14ac:dyDescent="0.35">
      <c r="A638" s="12">
        <v>43634</v>
      </c>
      <c r="B638" s="12">
        <f t="shared" si="9"/>
        <v>43617</v>
      </c>
      <c r="C638">
        <v>3.8601999999999999</v>
      </c>
    </row>
    <row r="639" spans="1:3" x14ac:dyDescent="0.35">
      <c r="A639" s="12">
        <v>43633</v>
      </c>
      <c r="B639" s="12">
        <f t="shared" si="9"/>
        <v>43617</v>
      </c>
      <c r="C639">
        <v>3.8889</v>
      </c>
    </row>
    <row r="640" spans="1:3" x14ac:dyDescent="0.35">
      <c r="A640" s="12">
        <v>43630</v>
      </c>
      <c r="B640" s="12">
        <f t="shared" si="9"/>
        <v>43617</v>
      </c>
      <c r="C640">
        <v>3.8807</v>
      </c>
    </row>
    <row r="641" spans="1:3" x14ac:dyDescent="0.35">
      <c r="A641" s="12">
        <v>43629</v>
      </c>
      <c r="B641" s="12">
        <f t="shared" si="9"/>
        <v>43617</v>
      </c>
      <c r="C641">
        <v>3.8422999999999998</v>
      </c>
    </row>
    <row r="642" spans="1:3" x14ac:dyDescent="0.35">
      <c r="A642" s="12">
        <v>43628</v>
      </c>
      <c r="B642" s="12">
        <f t="shared" si="9"/>
        <v>43617</v>
      </c>
      <c r="C642">
        <v>3.8431000000000002</v>
      </c>
    </row>
    <row r="643" spans="1:3" x14ac:dyDescent="0.35">
      <c r="A643" s="12">
        <v>43627</v>
      </c>
      <c r="B643" s="12">
        <f t="shared" ref="B643:B706" si="10">DATE(YEAR(A643),MONTH(A643),DAY(1))</f>
        <v>43617</v>
      </c>
      <c r="C643">
        <v>3.8658000000000001</v>
      </c>
    </row>
    <row r="644" spans="1:3" x14ac:dyDescent="0.35">
      <c r="A644" s="12">
        <v>43626</v>
      </c>
      <c r="B644" s="12">
        <f t="shared" si="10"/>
        <v>43617</v>
      </c>
      <c r="C644">
        <v>3.8784000000000001</v>
      </c>
    </row>
    <row r="645" spans="1:3" x14ac:dyDescent="0.35">
      <c r="A645" s="12">
        <v>43623</v>
      </c>
      <c r="B645" s="12">
        <f t="shared" si="10"/>
        <v>43617</v>
      </c>
      <c r="C645">
        <v>3.8565</v>
      </c>
    </row>
    <row r="646" spans="1:3" x14ac:dyDescent="0.35">
      <c r="A646" s="12">
        <v>43622</v>
      </c>
      <c r="B646" s="12">
        <f t="shared" si="10"/>
        <v>43617</v>
      </c>
      <c r="C646">
        <v>3.8719999999999999</v>
      </c>
    </row>
    <row r="647" spans="1:3" x14ac:dyDescent="0.35">
      <c r="A647" s="12">
        <v>43621</v>
      </c>
      <c r="B647" s="12">
        <f t="shared" si="10"/>
        <v>43617</v>
      </c>
      <c r="C647">
        <v>3.8605</v>
      </c>
    </row>
    <row r="648" spans="1:3" x14ac:dyDescent="0.35">
      <c r="A648" s="12">
        <v>43620</v>
      </c>
      <c r="B648" s="12">
        <f t="shared" si="10"/>
        <v>43617</v>
      </c>
      <c r="C648">
        <v>3.8704000000000001</v>
      </c>
    </row>
    <row r="649" spans="1:3" x14ac:dyDescent="0.35">
      <c r="A649" s="12">
        <v>43619</v>
      </c>
      <c r="B649" s="12">
        <f t="shared" si="10"/>
        <v>43617</v>
      </c>
      <c r="C649">
        <v>3.8997000000000002</v>
      </c>
    </row>
    <row r="650" spans="1:3" x14ac:dyDescent="0.35">
      <c r="A650" s="12">
        <v>43616</v>
      </c>
      <c r="B650" s="12">
        <f t="shared" si="10"/>
        <v>43586</v>
      </c>
      <c r="C650">
        <v>3.9401000000000002</v>
      </c>
    </row>
    <row r="651" spans="1:3" x14ac:dyDescent="0.35">
      <c r="A651" s="12">
        <v>43615</v>
      </c>
      <c r="B651" s="12">
        <f t="shared" si="10"/>
        <v>43586</v>
      </c>
      <c r="C651">
        <v>3.9714</v>
      </c>
    </row>
    <row r="652" spans="1:3" x14ac:dyDescent="0.35">
      <c r="A652" s="12">
        <v>43614</v>
      </c>
      <c r="B652" s="12">
        <f t="shared" si="10"/>
        <v>43586</v>
      </c>
      <c r="C652">
        <v>3.9958999999999998</v>
      </c>
    </row>
    <row r="653" spans="1:3" x14ac:dyDescent="0.35">
      <c r="A653" s="12">
        <v>43613</v>
      </c>
      <c r="B653" s="12">
        <f t="shared" si="10"/>
        <v>43586</v>
      </c>
      <c r="C653">
        <v>4.0269000000000004</v>
      </c>
    </row>
    <row r="654" spans="1:3" x14ac:dyDescent="0.35">
      <c r="A654" s="12">
        <v>43612</v>
      </c>
      <c r="B654" s="12">
        <f t="shared" si="10"/>
        <v>43586</v>
      </c>
      <c r="C654">
        <v>4.0204000000000004</v>
      </c>
    </row>
    <row r="655" spans="1:3" x14ac:dyDescent="0.35">
      <c r="A655" s="12">
        <v>43609</v>
      </c>
      <c r="B655" s="12">
        <f t="shared" si="10"/>
        <v>43586</v>
      </c>
      <c r="C655">
        <v>4.0316000000000001</v>
      </c>
    </row>
    <row r="656" spans="1:3" x14ac:dyDescent="0.35">
      <c r="A656" s="12">
        <v>43608</v>
      </c>
      <c r="B656" s="12">
        <f t="shared" si="10"/>
        <v>43586</v>
      </c>
      <c r="C656">
        <v>4.0507</v>
      </c>
    </row>
    <row r="657" spans="1:3" x14ac:dyDescent="0.35">
      <c r="A657" s="12">
        <v>43607</v>
      </c>
      <c r="B657" s="12">
        <f t="shared" si="10"/>
        <v>43586</v>
      </c>
      <c r="C657">
        <v>4.0221999999999998</v>
      </c>
    </row>
    <row r="658" spans="1:3" x14ac:dyDescent="0.35">
      <c r="A658" s="12">
        <v>43606</v>
      </c>
      <c r="B658" s="12">
        <f t="shared" si="10"/>
        <v>43586</v>
      </c>
      <c r="C658">
        <v>4.0804</v>
      </c>
    </row>
    <row r="659" spans="1:3" x14ac:dyDescent="0.35">
      <c r="A659" s="12">
        <v>43605</v>
      </c>
      <c r="B659" s="12">
        <f t="shared" si="10"/>
        <v>43586</v>
      </c>
      <c r="C659">
        <v>4.1050000000000004</v>
      </c>
    </row>
    <row r="660" spans="1:3" x14ac:dyDescent="0.35">
      <c r="A660" s="12">
        <v>43602</v>
      </c>
      <c r="B660" s="12">
        <f t="shared" si="10"/>
        <v>43586</v>
      </c>
      <c r="C660">
        <v>4.0838000000000001</v>
      </c>
    </row>
    <row r="661" spans="1:3" x14ac:dyDescent="0.35">
      <c r="A661" s="12">
        <v>43601</v>
      </c>
      <c r="B661" s="12">
        <f t="shared" si="10"/>
        <v>43586</v>
      </c>
      <c r="C661">
        <v>4.0132000000000003</v>
      </c>
    </row>
    <row r="662" spans="1:3" x14ac:dyDescent="0.35">
      <c r="A662" s="12">
        <v>43600</v>
      </c>
      <c r="B662" s="12">
        <f t="shared" si="10"/>
        <v>43586</v>
      </c>
      <c r="C662">
        <v>4.0025000000000004</v>
      </c>
    </row>
    <row r="663" spans="1:3" x14ac:dyDescent="0.35">
      <c r="A663" s="12">
        <v>43599</v>
      </c>
      <c r="B663" s="12">
        <f t="shared" si="10"/>
        <v>43586</v>
      </c>
      <c r="C663">
        <v>3.9782000000000002</v>
      </c>
    </row>
    <row r="664" spans="1:3" x14ac:dyDescent="0.35">
      <c r="A664" s="12">
        <v>43598</v>
      </c>
      <c r="B664" s="12">
        <f t="shared" si="10"/>
        <v>43586</v>
      </c>
      <c r="C664">
        <v>3.9883999999999999</v>
      </c>
    </row>
    <row r="665" spans="1:3" x14ac:dyDescent="0.35">
      <c r="A665" s="12">
        <v>43595</v>
      </c>
      <c r="B665" s="12">
        <f t="shared" si="10"/>
        <v>43586</v>
      </c>
      <c r="C665">
        <v>3.9571999999999998</v>
      </c>
    </row>
    <row r="666" spans="1:3" x14ac:dyDescent="0.35">
      <c r="A666" s="12">
        <v>43594</v>
      </c>
      <c r="B666" s="12">
        <f t="shared" si="10"/>
        <v>43586</v>
      </c>
      <c r="C666">
        <v>3.9666999999999999</v>
      </c>
    </row>
    <row r="667" spans="1:3" x14ac:dyDescent="0.35">
      <c r="A667" s="12">
        <v>43593</v>
      </c>
      <c r="B667" s="12">
        <f t="shared" si="10"/>
        <v>43586</v>
      </c>
      <c r="C667">
        <v>3.9338000000000002</v>
      </c>
    </row>
    <row r="668" spans="1:3" x14ac:dyDescent="0.35">
      <c r="A668" s="12">
        <v>43592</v>
      </c>
      <c r="B668" s="12">
        <f t="shared" si="10"/>
        <v>43586</v>
      </c>
      <c r="C668">
        <v>3.9874000000000001</v>
      </c>
    </row>
    <row r="669" spans="1:3" x14ac:dyDescent="0.35">
      <c r="A669" s="12">
        <v>43591</v>
      </c>
      <c r="B669" s="12">
        <f t="shared" si="10"/>
        <v>43586</v>
      </c>
      <c r="C669">
        <v>3.9618000000000002</v>
      </c>
    </row>
    <row r="670" spans="1:3" x14ac:dyDescent="0.35">
      <c r="A670" s="12">
        <v>43588</v>
      </c>
      <c r="B670" s="12">
        <f t="shared" si="10"/>
        <v>43586</v>
      </c>
      <c r="C670">
        <v>3.9382000000000001</v>
      </c>
    </row>
    <row r="671" spans="1:3" x14ac:dyDescent="0.35">
      <c r="A671" s="12">
        <v>43587</v>
      </c>
      <c r="B671" s="12">
        <f t="shared" si="10"/>
        <v>43586</v>
      </c>
      <c r="C671">
        <v>3.9643999999999999</v>
      </c>
    </row>
    <row r="672" spans="1:3" x14ac:dyDescent="0.35">
      <c r="A672" s="12">
        <v>43585</v>
      </c>
      <c r="B672" s="12">
        <f t="shared" si="10"/>
        <v>43556</v>
      </c>
      <c r="C672">
        <v>3.9447000000000001</v>
      </c>
    </row>
    <row r="673" spans="1:3" x14ac:dyDescent="0.35">
      <c r="A673" s="12">
        <v>43584</v>
      </c>
      <c r="B673" s="12">
        <f t="shared" si="10"/>
        <v>43556</v>
      </c>
      <c r="C673">
        <v>3.9358</v>
      </c>
    </row>
    <row r="674" spans="1:3" x14ac:dyDescent="0.35">
      <c r="A674" s="12">
        <v>43581</v>
      </c>
      <c r="B674" s="12">
        <f t="shared" si="10"/>
        <v>43556</v>
      </c>
      <c r="C674">
        <v>3.9346999999999999</v>
      </c>
    </row>
    <row r="675" spans="1:3" x14ac:dyDescent="0.35">
      <c r="A675" s="12">
        <v>43580</v>
      </c>
      <c r="B675" s="12">
        <f t="shared" si="10"/>
        <v>43556</v>
      </c>
      <c r="C675">
        <v>3.9719000000000002</v>
      </c>
    </row>
    <row r="676" spans="1:3" x14ac:dyDescent="0.35">
      <c r="A676" s="12">
        <v>43579</v>
      </c>
      <c r="B676" s="12">
        <f t="shared" si="10"/>
        <v>43556</v>
      </c>
      <c r="C676">
        <v>3.9624000000000001</v>
      </c>
    </row>
    <row r="677" spans="1:3" x14ac:dyDescent="0.35">
      <c r="A677" s="12">
        <v>43578</v>
      </c>
      <c r="B677" s="12">
        <f t="shared" si="10"/>
        <v>43556</v>
      </c>
      <c r="C677">
        <v>3.9430000000000001</v>
      </c>
    </row>
    <row r="678" spans="1:3" x14ac:dyDescent="0.35">
      <c r="A678" s="12">
        <v>43577</v>
      </c>
      <c r="B678" s="12">
        <f t="shared" si="10"/>
        <v>43556</v>
      </c>
      <c r="C678">
        <v>3.9224000000000001</v>
      </c>
    </row>
    <row r="679" spans="1:3" x14ac:dyDescent="0.35">
      <c r="A679" s="12">
        <v>43573</v>
      </c>
      <c r="B679" s="12">
        <f t="shared" si="10"/>
        <v>43556</v>
      </c>
      <c r="C679">
        <v>3.9363999999999999</v>
      </c>
    </row>
    <row r="680" spans="1:3" x14ac:dyDescent="0.35">
      <c r="A680" s="12">
        <v>43572</v>
      </c>
      <c r="B680" s="12">
        <f t="shared" si="10"/>
        <v>43556</v>
      </c>
      <c r="C680">
        <v>3.9218999999999999</v>
      </c>
    </row>
    <row r="681" spans="1:3" x14ac:dyDescent="0.35">
      <c r="A681" s="12">
        <v>43571</v>
      </c>
      <c r="B681" s="12">
        <f t="shared" si="10"/>
        <v>43556</v>
      </c>
      <c r="C681">
        <v>3.8906999999999998</v>
      </c>
    </row>
    <row r="682" spans="1:3" x14ac:dyDescent="0.35">
      <c r="A682" s="12">
        <v>43570</v>
      </c>
      <c r="B682" s="12">
        <f t="shared" si="10"/>
        <v>43556</v>
      </c>
      <c r="C682">
        <v>3.8723999999999998</v>
      </c>
    </row>
    <row r="683" spans="1:3" x14ac:dyDescent="0.35">
      <c r="A683" s="12">
        <v>43567</v>
      </c>
      <c r="B683" s="12">
        <f t="shared" si="10"/>
        <v>43556</v>
      </c>
      <c r="C683">
        <v>3.8679000000000001</v>
      </c>
    </row>
    <row r="684" spans="1:3" x14ac:dyDescent="0.35">
      <c r="A684" s="12">
        <v>43566</v>
      </c>
      <c r="B684" s="12">
        <f t="shared" si="10"/>
        <v>43556</v>
      </c>
      <c r="C684">
        <v>3.8393000000000002</v>
      </c>
    </row>
    <row r="685" spans="1:3" x14ac:dyDescent="0.35">
      <c r="A685" s="12">
        <v>43565</v>
      </c>
      <c r="B685" s="12">
        <f t="shared" si="10"/>
        <v>43556</v>
      </c>
      <c r="C685">
        <v>3.8338999999999999</v>
      </c>
    </row>
    <row r="686" spans="1:3" x14ac:dyDescent="0.35">
      <c r="A686" s="12">
        <v>43564</v>
      </c>
      <c r="B686" s="12">
        <f t="shared" si="10"/>
        <v>43556</v>
      </c>
      <c r="C686">
        <v>3.8557000000000001</v>
      </c>
    </row>
    <row r="687" spans="1:3" x14ac:dyDescent="0.35">
      <c r="A687" s="12">
        <v>43563</v>
      </c>
      <c r="B687" s="12">
        <f t="shared" si="10"/>
        <v>43556</v>
      </c>
      <c r="C687">
        <v>3.8652000000000002</v>
      </c>
    </row>
    <row r="688" spans="1:3" x14ac:dyDescent="0.35">
      <c r="A688" s="12">
        <v>43560</v>
      </c>
      <c r="B688" s="12">
        <f t="shared" si="10"/>
        <v>43556</v>
      </c>
      <c r="C688">
        <v>3.8616000000000001</v>
      </c>
    </row>
    <row r="689" spans="1:3" x14ac:dyDescent="0.35">
      <c r="A689" s="12">
        <v>43559</v>
      </c>
      <c r="B689" s="12">
        <f t="shared" si="10"/>
        <v>43556</v>
      </c>
      <c r="C689">
        <v>3.8706999999999998</v>
      </c>
    </row>
    <row r="690" spans="1:3" x14ac:dyDescent="0.35">
      <c r="A690" s="12">
        <v>43558</v>
      </c>
      <c r="B690" s="12">
        <f t="shared" si="10"/>
        <v>43556</v>
      </c>
      <c r="C690">
        <v>3.843</v>
      </c>
    </row>
    <row r="691" spans="1:3" x14ac:dyDescent="0.35">
      <c r="A691" s="12">
        <v>43557</v>
      </c>
      <c r="B691" s="12">
        <f t="shared" si="10"/>
        <v>43556</v>
      </c>
      <c r="C691">
        <v>3.8654999999999999</v>
      </c>
    </row>
    <row r="692" spans="1:3" x14ac:dyDescent="0.35">
      <c r="A692" s="12">
        <v>43556</v>
      </c>
      <c r="B692" s="12">
        <f t="shared" si="10"/>
        <v>43556</v>
      </c>
      <c r="C692">
        <v>3.8675999999999999</v>
      </c>
    </row>
    <row r="693" spans="1:3" x14ac:dyDescent="0.35">
      <c r="A693" s="12">
        <v>43553</v>
      </c>
      <c r="B693" s="12">
        <f t="shared" si="10"/>
        <v>43525</v>
      </c>
      <c r="C693">
        <v>3.8961000000000001</v>
      </c>
    </row>
    <row r="694" spans="1:3" x14ac:dyDescent="0.35">
      <c r="A694" s="12">
        <v>43552</v>
      </c>
      <c r="B694" s="12">
        <f t="shared" si="10"/>
        <v>43525</v>
      </c>
      <c r="C694">
        <v>3.9676</v>
      </c>
    </row>
    <row r="695" spans="1:3" x14ac:dyDescent="0.35">
      <c r="A695" s="12">
        <v>43551</v>
      </c>
      <c r="B695" s="12">
        <f t="shared" si="10"/>
        <v>43525</v>
      </c>
      <c r="C695">
        <v>3.9382999999999999</v>
      </c>
    </row>
    <row r="696" spans="1:3" x14ac:dyDescent="0.35">
      <c r="A696" s="12">
        <v>43550</v>
      </c>
      <c r="B696" s="12">
        <f t="shared" si="10"/>
        <v>43525</v>
      </c>
      <c r="C696">
        <v>3.8639999999999999</v>
      </c>
    </row>
    <row r="697" spans="1:3" x14ac:dyDescent="0.35">
      <c r="A697" s="12">
        <v>43549</v>
      </c>
      <c r="B697" s="12">
        <f t="shared" si="10"/>
        <v>43525</v>
      </c>
      <c r="C697">
        <v>3.8763999999999998</v>
      </c>
    </row>
    <row r="698" spans="1:3" x14ac:dyDescent="0.35">
      <c r="A698" s="12">
        <v>43546</v>
      </c>
      <c r="B698" s="12">
        <f t="shared" si="10"/>
        <v>43525</v>
      </c>
      <c r="C698">
        <v>3.8809</v>
      </c>
    </row>
    <row r="699" spans="1:3" x14ac:dyDescent="0.35">
      <c r="A699" s="12">
        <v>43545</v>
      </c>
      <c r="B699" s="12">
        <f t="shared" si="10"/>
        <v>43525</v>
      </c>
      <c r="C699">
        <v>3.7961</v>
      </c>
    </row>
    <row r="700" spans="1:3" x14ac:dyDescent="0.35">
      <c r="A700" s="12">
        <v>43544</v>
      </c>
      <c r="B700" s="12">
        <f t="shared" si="10"/>
        <v>43525</v>
      </c>
      <c r="C700">
        <v>3.7890999999999999</v>
      </c>
    </row>
    <row r="701" spans="1:3" x14ac:dyDescent="0.35">
      <c r="A701" s="12">
        <v>43543</v>
      </c>
      <c r="B701" s="12">
        <f t="shared" si="10"/>
        <v>43525</v>
      </c>
      <c r="C701">
        <v>3.7755999999999998</v>
      </c>
    </row>
    <row r="702" spans="1:3" x14ac:dyDescent="0.35">
      <c r="A702" s="12">
        <v>43542</v>
      </c>
      <c r="B702" s="12">
        <f t="shared" si="10"/>
        <v>43525</v>
      </c>
      <c r="C702">
        <v>3.8105000000000002</v>
      </c>
    </row>
    <row r="703" spans="1:3" x14ac:dyDescent="0.35">
      <c r="A703" s="12">
        <v>43539</v>
      </c>
      <c r="B703" s="12">
        <f t="shared" si="10"/>
        <v>43525</v>
      </c>
      <c r="C703">
        <v>3.8338000000000001</v>
      </c>
    </row>
    <row r="704" spans="1:3" x14ac:dyDescent="0.35">
      <c r="A704" s="12">
        <v>43538</v>
      </c>
      <c r="B704" s="12">
        <f t="shared" si="10"/>
        <v>43525</v>
      </c>
      <c r="C704">
        <v>3.8321000000000001</v>
      </c>
    </row>
    <row r="705" spans="1:3" x14ac:dyDescent="0.35">
      <c r="A705" s="12">
        <v>43537</v>
      </c>
      <c r="B705" s="12">
        <f t="shared" si="10"/>
        <v>43525</v>
      </c>
      <c r="C705">
        <v>3.8258999999999999</v>
      </c>
    </row>
    <row r="706" spans="1:3" x14ac:dyDescent="0.35">
      <c r="A706" s="12">
        <v>43536</v>
      </c>
      <c r="B706" s="12">
        <f t="shared" si="10"/>
        <v>43525</v>
      </c>
      <c r="C706">
        <v>3.8123</v>
      </c>
    </row>
    <row r="707" spans="1:3" x14ac:dyDescent="0.35">
      <c r="A707" s="12">
        <v>43535</v>
      </c>
      <c r="B707" s="12">
        <f t="shared" ref="B707:B770" si="11">DATE(YEAR(A707),MONTH(A707),DAY(1))</f>
        <v>43525</v>
      </c>
      <c r="C707">
        <v>3.8454999999999999</v>
      </c>
    </row>
    <row r="708" spans="1:3" x14ac:dyDescent="0.35">
      <c r="A708" s="12">
        <v>43532</v>
      </c>
      <c r="B708" s="12">
        <f t="shared" si="11"/>
        <v>43525</v>
      </c>
      <c r="C708">
        <v>3.8672</v>
      </c>
    </row>
    <row r="709" spans="1:3" x14ac:dyDescent="0.35">
      <c r="A709" s="12">
        <v>43531</v>
      </c>
      <c r="B709" s="12">
        <f t="shared" si="11"/>
        <v>43525</v>
      </c>
      <c r="C709">
        <v>3.8481000000000001</v>
      </c>
    </row>
    <row r="710" spans="1:3" x14ac:dyDescent="0.35">
      <c r="A710" s="12">
        <v>43530</v>
      </c>
      <c r="B710" s="12">
        <f t="shared" si="11"/>
        <v>43525</v>
      </c>
      <c r="C710">
        <v>3.8296999999999999</v>
      </c>
    </row>
    <row r="711" spans="1:3" x14ac:dyDescent="0.35">
      <c r="A711" s="12">
        <v>43525</v>
      </c>
      <c r="B711" s="12">
        <f t="shared" si="11"/>
        <v>43525</v>
      </c>
      <c r="C711">
        <v>3.7826</v>
      </c>
    </row>
    <row r="712" spans="1:3" x14ac:dyDescent="0.35">
      <c r="A712" s="12">
        <v>43524</v>
      </c>
      <c r="B712" s="12">
        <f t="shared" si="11"/>
        <v>43497</v>
      </c>
      <c r="C712">
        <v>3.7378999999999998</v>
      </c>
    </row>
    <row r="713" spans="1:3" x14ac:dyDescent="0.35">
      <c r="A713" s="12">
        <v>43523</v>
      </c>
      <c r="B713" s="12">
        <f t="shared" si="11"/>
        <v>43497</v>
      </c>
      <c r="C713">
        <v>3.7345000000000002</v>
      </c>
    </row>
    <row r="714" spans="1:3" x14ac:dyDescent="0.35">
      <c r="A714" s="12">
        <v>43522</v>
      </c>
      <c r="B714" s="12">
        <f t="shared" si="11"/>
        <v>43497</v>
      </c>
      <c r="C714">
        <v>3.7589000000000001</v>
      </c>
    </row>
    <row r="715" spans="1:3" x14ac:dyDescent="0.35">
      <c r="A715" s="12">
        <v>43521</v>
      </c>
      <c r="B715" s="12">
        <f t="shared" si="11"/>
        <v>43497</v>
      </c>
      <c r="C715">
        <v>3.7279</v>
      </c>
    </row>
    <row r="716" spans="1:3" x14ac:dyDescent="0.35">
      <c r="A716" s="12">
        <v>43518</v>
      </c>
      <c r="B716" s="12">
        <f t="shared" si="11"/>
        <v>43497</v>
      </c>
      <c r="C716">
        <v>3.7423999999999999</v>
      </c>
    </row>
    <row r="717" spans="1:3" x14ac:dyDescent="0.35">
      <c r="A717" s="12">
        <v>43517</v>
      </c>
      <c r="B717" s="12">
        <f t="shared" si="11"/>
        <v>43497</v>
      </c>
      <c r="C717">
        <v>3.7589000000000001</v>
      </c>
    </row>
    <row r="718" spans="1:3" x14ac:dyDescent="0.35">
      <c r="A718" s="12">
        <v>43516</v>
      </c>
      <c r="B718" s="12">
        <f t="shared" si="11"/>
        <v>43497</v>
      </c>
      <c r="C718">
        <v>3.7094</v>
      </c>
    </row>
    <row r="719" spans="1:3" x14ac:dyDescent="0.35">
      <c r="A719" s="12">
        <v>43515</v>
      </c>
      <c r="B719" s="12">
        <f t="shared" si="11"/>
        <v>43497</v>
      </c>
      <c r="C719">
        <v>3.72</v>
      </c>
    </row>
    <row r="720" spans="1:3" x14ac:dyDescent="0.35">
      <c r="A720" s="12">
        <v>43514</v>
      </c>
      <c r="B720" s="12">
        <f t="shared" si="11"/>
        <v>43497</v>
      </c>
      <c r="C720">
        <v>3.7309999999999999</v>
      </c>
    </row>
    <row r="721" spans="1:3" x14ac:dyDescent="0.35">
      <c r="A721" s="12">
        <v>43511</v>
      </c>
      <c r="B721" s="12">
        <f t="shared" si="11"/>
        <v>43497</v>
      </c>
      <c r="C721">
        <v>3.7149000000000001</v>
      </c>
    </row>
    <row r="722" spans="1:3" x14ac:dyDescent="0.35">
      <c r="A722" s="12">
        <v>43510</v>
      </c>
      <c r="B722" s="12">
        <f t="shared" si="11"/>
        <v>43497</v>
      </c>
      <c r="C722">
        <v>3.7749999999999999</v>
      </c>
    </row>
    <row r="723" spans="1:3" x14ac:dyDescent="0.35">
      <c r="A723" s="12">
        <v>43509</v>
      </c>
      <c r="B723" s="12">
        <f t="shared" si="11"/>
        <v>43497</v>
      </c>
      <c r="C723">
        <v>3.7271000000000001</v>
      </c>
    </row>
    <row r="724" spans="1:3" x14ac:dyDescent="0.35">
      <c r="A724" s="12">
        <v>43508</v>
      </c>
      <c r="B724" s="12">
        <f t="shared" si="11"/>
        <v>43497</v>
      </c>
      <c r="C724">
        <v>3.7290000000000001</v>
      </c>
    </row>
    <row r="725" spans="1:3" x14ac:dyDescent="0.35">
      <c r="A725" s="12">
        <v>43507</v>
      </c>
      <c r="B725" s="12">
        <f t="shared" si="11"/>
        <v>43497</v>
      </c>
      <c r="C725">
        <v>3.7385000000000002</v>
      </c>
    </row>
    <row r="726" spans="1:3" x14ac:dyDescent="0.35">
      <c r="A726" s="12">
        <v>43504</v>
      </c>
      <c r="B726" s="12">
        <f t="shared" si="11"/>
        <v>43497</v>
      </c>
      <c r="C726">
        <v>3.7178</v>
      </c>
    </row>
    <row r="727" spans="1:3" x14ac:dyDescent="0.35">
      <c r="A727" s="12">
        <v>43503</v>
      </c>
      <c r="B727" s="12">
        <f t="shared" si="11"/>
        <v>43497</v>
      </c>
      <c r="C727">
        <v>3.7187000000000001</v>
      </c>
    </row>
    <row r="728" spans="1:3" x14ac:dyDescent="0.35">
      <c r="A728" s="12">
        <v>43502</v>
      </c>
      <c r="B728" s="12">
        <f t="shared" si="11"/>
        <v>43497</v>
      </c>
      <c r="C728">
        <v>3.7012999999999998</v>
      </c>
    </row>
    <row r="729" spans="1:3" x14ac:dyDescent="0.35">
      <c r="A729" s="12">
        <v>43501</v>
      </c>
      <c r="B729" s="12">
        <f t="shared" si="11"/>
        <v>43497</v>
      </c>
      <c r="C729">
        <v>3.6735000000000002</v>
      </c>
    </row>
    <row r="730" spans="1:3" x14ac:dyDescent="0.35">
      <c r="A730" s="12">
        <v>43500</v>
      </c>
      <c r="B730" s="12">
        <f t="shared" si="11"/>
        <v>43497</v>
      </c>
      <c r="C730">
        <v>3.6749999999999998</v>
      </c>
    </row>
    <row r="731" spans="1:3" x14ac:dyDescent="0.35">
      <c r="A731" s="12">
        <v>43497</v>
      </c>
      <c r="B731" s="12">
        <f t="shared" si="11"/>
        <v>43497</v>
      </c>
      <c r="C731">
        <v>3.6688000000000001</v>
      </c>
    </row>
    <row r="732" spans="1:3" x14ac:dyDescent="0.35">
      <c r="A732" s="12">
        <v>43496</v>
      </c>
      <c r="B732" s="12">
        <f t="shared" si="11"/>
        <v>43466</v>
      </c>
      <c r="C732">
        <v>3.6513</v>
      </c>
    </row>
    <row r="733" spans="1:3" x14ac:dyDescent="0.35">
      <c r="A733" s="12">
        <v>43495</v>
      </c>
      <c r="B733" s="12">
        <f t="shared" si="11"/>
        <v>43466</v>
      </c>
      <c r="C733">
        <v>3.7145000000000001</v>
      </c>
    </row>
    <row r="734" spans="1:3" x14ac:dyDescent="0.35">
      <c r="A734" s="12">
        <v>43494</v>
      </c>
      <c r="B734" s="12">
        <f t="shared" si="11"/>
        <v>43466</v>
      </c>
      <c r="C734">
        <v>3.7364000000000002</v>
      </c>
    </row>
    <row r="735" spans="1:3" x14ac:dyDescent="0.35">
      <c r="A735" s="12">
        <v>43493</v>
      </c>
      <c r="B735" s="12">
        <f t="shared" si="11"/>
        <v>43466</v>
      </c>
      <c r="C735">
        <v>3.7669999999999999</v>
      </c>
    </row>
    <row r="736" spans="1:3" x14ac:dyDescent="0.35">
      <c r="A736" s="12">
        <v>43490</v>
      </c>
      <c r="B736" s="12">
        <f t="shared" si="11"/>
        <v>43466</v>
      </c>
      <c r="C736">
        <v>3.7612999999999999</v>
      </c>
    </row>
    <row r="737" spans="1:3" x14ac:dyDescent="0.35">
      <c r="A737" s="12">
        <v>43489</v>
      </c>
      <c r="B737" s="12">
        <f t="shared" si="11"/>
        <v>43466</v>
      </c>
      <c r="C737">
        <v>3.7808999999999999</v>
      </c>
    </row>
    <row r="738" spans="1:3" x14ac:dyDescent="0.35">
      <c r="A738" s="12">
        <v>43488</v>
      </c>
      <c r="B738" s="12">
        <f t="shared" si="11"/>
        <v>43466</v>
      </c>
      <c r="C738">
        <v>3.7988</v>
      </c>
    </row>
    <row r="739" spans="1:3" x14ac:dyDescent="0.35">
      <c r="A739" s="12">
        <v>43487</v>
      </c>
      <c r="B739" s="12">
        <f t="shared" si="11"/>
        <v>43466</v>
      </c>
      <c r="C739">
        <v>3.7608999999999999</v>
      </c>
    </row>
    <row r="740" spans="1:3" x14ac:dyDescent="0.35">
      <c r="A740" s="12">
        <v>43486</v>
      </c>
      <c r="B740" s="12">
        <f t="shared" si="11"/>
        <v>43466</v>
      </c>
      <c r="C740">
        <v>3.7698999999999998</v>
      </c>
    </row>
    <row r="741" spans="1:3" x14ac:dyDescent="0.35">
      <c r="A741" s="12">
        <v>43483</v>
      </c>
      <c r="B741" s="12">
        <f t="shared" si="11"/>
        <v>43466</v>
      </c>
      <c r="C741">
        <v>3.7480000000000002</v>
      </c>
    </row>
    <row r="742" spans="1:3" x14ac:dyDescent="0.35">
      <c r="A742" s="12">
        <v>43482</v>
      </c>
      <c r="B742" s="12">
        <f t="shared" si="11"/>
        <v>43466</v>
      </c>
      <c r="C742">
        <v>3.7585000000000002</v>
      </c>
    </row>
    <row r="743" spans="1:3" x14ac:dyDescent="0.35">
      <c r="A743" s="12">
        <v>43481</v>
      </c>
      <c r="B743" s="12">
        <f t="shared" si="11"/>
        <v>43466</v>
      </c>
      <c r="C743">
        <v>3.7191000000000001</v>
      </c>
    </row>
    <row r="744" spans="1:3" x14ac:dyDescent="0.35">
      <c r="A744" s="12">
        <v>43480</v>
      </c>
      <c r="B744" s="12">
        <f t="shared" si="11"/>
        <v>43466</v>
      </c>
      <c r="C744">
        <v>3.7042999999999999</v>
      </c>
    </row>
    <row r="745" spans="1:3" x14ac:dyDescent="0.35">
      <c r="A745" s="12">
        <v>43479</v>
      </c>
      <c r="B745" s="12">
        <f t="shared" si="11"/>
        <v>43466</v>
      </c>
      <c r="C745">
        <v>3.7254999999999998</v>
      </c>
    </row>
    <row r="746" spans="1:3" x14ac:dyDescent="0.35">
      <c r="A746" s="12">
        <v>43476</v>
      </c>
      <c r="B746" s="12">
        <f t="shared" si="11"/>
        <v>43466</v>
      </c>
      <c r="C746">
        <v>3.7134999999999998</v>
      </c>
    </row>
    <row r="747" spans="1:3" x14ac:dyDescent="0.35">
      <c r="A747" s="12">
        <v>43475</v>
      </c>
      <c r="B747" s="12">
        <f t="shared" si="11"/>
        <v>43466</v>
      </c>
      <c r="C747">
        <v>3.6863000000000001</v>
      </c>
    </row>
    <row r="748" spans="1:3" x14ac:dyDescent="0.35">
      <c r="A748" s="12">
        <v>43474</v>
      </c>
      <c r="B748" s="12">
        <f t="shared" si="11"/>
        <v>43466</v>
      </c>
      <c r="C748">
        <v>3.6924999999999999</v>
      </c>
    </row>
    <row r="749" spans="1:3" x14ac:dyDescent="0.35">
      <c r="A749" s="12">
        <v>43473</v>
      </c>
      <c r="B749" s="12">
        <f t="shared" si="11"/>
        <v>43466</v>
      </c>
      <c r="C749">
        <v>3.7202000000000002</v>
      </c>
    </row>
    <row r="750" spans="1:3" x14ac:dyDescent="0.35">
      <c r="A750" s="12">
        <v>43472</v>
      </c>
      <c r="B750" s="12">
        <f t="shared" si="11"/>
        <v>43466</v>
      </c>
      <c r="C750">
        <v>3.7056</v>
      </c>
    </row>
    <row r="751" spans="1:3" x14ac:dyDescent="0.35">
      <c r="A751" s="12">
        <v>43469</v>
      </c>
      <c r="B751" s="12">
        <f t="shared" si="11"/>
        <v>43466</v>
      </c>
      <c r="C751">
        <v>3.7621000000000002</v>
      </c>
    </row>
    <row r="752" spans="1:3" x14ac:dyDescent="0.35">
      <c r="A752" s="12">
        <v>43468</v>
      </c>
      <c r="B752" s="12">
        <f t="shared" si="11"/>
        <v>43466</v>
      </c>
      <c r="C752">
        <v>3.7677</v>
      </c>
    </row>
    <row r="753" spans="1:3" x14ac:dyDescent="0.35">
      <c r="A753" s="12">
        <v>43467</v>
      </c>
      <c r="B753" s="12">
        <f t="shared" si="11"/>
        <v>43466</v>
      </c>
      <c r="C753">
        <v>3.8589000000000002</v>
      </c>
    </row>
    <row r="754" spans="1:3" x14ac:dyDescent="0.35">
      <c r="A754" s="12">
        <v>43465</v>
      </c>
      <c r="B754" s="12">
        <f t="shared" si="11"/>
        <v>43435</v>
      </c>
      <c r="C754">
        <v>3.8742000000000001</v>
      </c>
    </row>
    <row r="755" spans="1:3" x14ac:dyDescent="0.35">
      <c r="A755" s="12">
        <v>43462</v>
      </c>
      <c r="B755" s="12">
        <f t="shared" si="11"/>
        <v>43435</v>
      </c>
      <c r="C755">
        <v>3.8742000000000001</v>
      </c>
    </row>
    <row r="756" spans="1:3" x14ac:dyDescent="0.35">
      <c r="A756" s="12">
        <v>43461</v>
      </c>
      <c r="B756" s="12">
        <f t="shared" si="11"/>
        <v>43435</v>
      </c>
      <c r="C756">
        <v>3.9323999999999999</v>
      </c>
    </row>
    <row r="757" spans="1:3" x14ac:dyDescent="0.35">
      <c r="A757" s="12">
        <v>43460</v>
      </c>
      <c r="B757" s="12">
        <f t="shared" si="11"/>
        <v>43435</v>
      </c>
      <c r="C757">
        <v>3.9251999999999998</v>
      </c>
    </row>
    <row r="758" spans="1:3" x14ac:dyDescent="0.35">
      <c r="A758" s="12">
        <v>43458</v>
      </c>
      <c r="B758" s="12">
        <f t="shared" si="11"/>
        <v>43435</v>
      </c>
      <c r="C758">
        <v>3.8839000000000001</v>
      </c>
    </row>
    <row r="759" spans="1:3" x14ac:dyDescent="0.35">
      <c r="A759" s="12">
        <v>43455</v>
      </c>
      <c r="B759" s="12">
        <f t="shared" si="11"/>
        <v>43435</v>
      </c>
      <c r="C759">
        <v>3.8664999999999998</v>
      </c>
    </row>
    <row r="760" spans="1:3" x14ac:dyDescent="0.35">
      <c r="A760" s="12">
        <v>43454</v>
      </c>
      <c r="B760" s="12">
        <f t="shared" si="11"/>
        <v>43435</v>
      </c>
      <c r="C760">
        <v>3.8437000000000001</v>
      </c>
    </row>
    <row r="761" spans="1:3" x14ac:dyDescent="0.35">
      <c r="A761" s="12">
        <v>43453</v>
      </c>
      <c r="B761" s="12">
        <f t="shared" si="11"/>
        <v>43435</v>
      </c>
      <c r="C761">
        <v>3.8900999999999999</v>
      </c>
    </row>
    <row r="762" spans="1:3" x14ac:dyDescent="0.35">
      <c r="A762" s="12">
        <v>43452</v>
      </c>
      <c r="B762" s="12">
        <f t="shared" si="11"/>
        <v>43435</v>
      </c>
      <c r="C762">
        <v>3.8990999999999998</v>
      </c>
    </row>
    <row r="763" spans="1:3" x14ac:dyDescent="0.35">
      <c r="A763" s="12">
        <v>43451</v>
      </c>
      <c r="B763" s="12">
        <f t="shared" si="11"/>
        <v>43435</v>
      </c>
      <c r="C763">
        <v>3.9115000000000002</v>
      </c>
    </row>
    <row r="764" spans="1:3" x14ac:dyDescent="0.35">
      <c r="A764" s="12">
        <v>43448</v>
      </c>
      <c r="B764" s="12">
        <f t="shared" si="11"/>
        <v>43435</v>
      </c>
      <c r="C764">
        <v>3.9083999999999999</v>
      </c>
    </row>
    <row r="765" spans="1:3" x14ac:dyDescent="0.35">
      <c r="A765" s="12">
        <v>43447</v>
      </c>
      <c r="B765" s="12">
        <f t="shared" si="11"/>
        <v>43435</v>
      </c>
      <c r="C765">
        <v>3.8784000000000001</v>
      </c>
    </row>
    <row r="766" spans="1:3" x14ac:dyDescent="0.35">
      <c r="A766" s="12">
        <v>43446</v>
      </c>
      <c r="B766" s="12">
        <f t="shared" si="11"/>
        <v>43435</v>
      </c>
      <c r="C766">
        <v>3.8622999999999998</v>
      </c>
    </row>
    <row r="767" spans="1:3" x14ac:dyDescent="0.35">
      <c r="A767" s="12">
        <v>43445</v>
      </c>
      <c r="B767" s="12">
        <f t="shared" si="11"/>
        <v>43435</v>
      </c>
      <c r="C767">
        <v>3.9007000000000001</v>
      </c>
    </row>
    <row r="768" spans="1:3" x14ac:dyDescent="0.35">
      <c r="A768" s="12">
        <v>43444</v>
      </c>
      <c r="B768" s="12">
        <f t="shared" si="11"/>
        <v>43435</v>
      </c>
      <c r="C768">
        <v>3.9104000000000001</v>
      </c>
    </row>
    <row r="769" spans="1:3" x14ac:dyDescent="0.35">
      <c r="A769" s="12">
        <v>43441</v>
      </c>
      <c r="B769" s="12">
        <f t="shared" si="11"/>
        <v>43435</v>
      </c>
      <c r="C769">
        <v>3.8957999999999999</v>
      </c>
    </row>
    <row r="770" spans="1:3" x14ac:dyDescent="0.35">
      <c r="A770" s="12">
        <v>43440</v>
      </c>
      <c r="B770" s="12">
        <f t="shared" si="11"/>
        <v>43435</v>
      </c>
      <c r="C770">
        <v>3.9171999999999998</v>
      </c>
    </row>
    <row r="771" spans="1:3" x14ac:dyDescent="0.35">
      <c r="A771" s="12">
        <v>43439</v>
      </c>
      <c r="B771" s="12">
        <f t="shared" ref="B771:B834" si="12">DATE(YEAR(A771),MONTH(A771),DAY(1))</f>
        <v>43435</v>
      </c>
      <c r="C771">
        <v>3.8555000000000001</v>
      </c>
    </row>
    <row r="772" spans="1:3" x14ac:dyDescent="0.35">
      <c r="A772" s="12">
        <v>43438</v>
      </c>
      <c r="B772" s="12">
        <f t="shared" si="12"/>
        <v>43435</v>
      </c>
      <c r="C772">
        <v>3.8307000000000002</v>
      </c>
    </row>
    <row r="773" spans="1:3" x14ac:dyDescent="0.35">
      <c r="A773" s="12">
        <v>43437</v>
      </c>
      <c r="B773" s="12">
        <f t="shared" si="12"/>
        <v>43435</v>
      </c>
      <c r="C773">
        <v>3.8279000000000001</v>
      </c>
    </row>
    <row r="774" spans="1:3" x14ac:dyDescent="0.35">
      <c r="A774" s="12">
        <v>43434</v>
      </c>
      <c r="B774" s="12">
        <f t="shared" si="12"/>
        <v>43405</v>
      </c>
      <c r="C774">
        <v>3.8626999999999998</v>
      </c>
    </row>
    <row r="775" spans="1:3" x14ac:dyDescent="0.35">
      <c r="A775" s="12">
        <v>43433</v>
      </c>
      <c r="B775" s="12">
        <f t="shared" si="12"/>
        <v>43405</v>
      </c>
      <c r="C775">
        <v>3.8561999999999999</v>
      </c>
    </row>
    <row r="776" spans="1:3" x14ac:dyDescent="0.35">
      <c r="A776" s="12">
        <v>43432</v>
      </c>
      <c r="B776" s="12">
        <f t="shared" si="12"/>
        <v>43405</v>
      </c>
      <c r="C776">
        <v>3.8624999999999998</v>
      </c>
    </row>
    <row r="777" spans="1:3" x14ac:dyDescent="0.35">
      <c r="A777" s="12">
        <v>43431</v>
      </c>
      <c r="B777" s="12">
        <f t="shared" si="12"/>
        <v>43405</v>
      </c>
      <c r="C777">
        <v>3.8919000000000001</v>
      </c>
    </row>
    <row r="778" spans="1:3" x14ac:dyDescent="0.35">
      <c r="A778" s="12">
        <v>43430</v>
      </c>
      <c r="B778" s="12">
        <f t="shared" si="12"/>
        <v>43405</v>
      </c>
      <c r="C778">
        <v>3.8649</v>
      </c>
    </row>
    <row r="779" spans="1:3" x14ac:dyDescent="0.35">
      <c r="A779" s="12">
        <v>43427</v>
      </c>
      <c r="B779" s="12">
        <f t="shared" si="12"/>
        <v>43405</v>
      </c>
      <c r="C779">
        <v>3.8075000000000001</v>
      </c>
    </row>
    <row r="780" spans="1:3" x14ac:dyDescent="0.35">
      <c r="A780" s="12">
        <v>43426</v>
      </c>
      <c r="B780" s="12">
        <f t="shared" si="12"/>
        <v>43405</v>
      </c>
      <c r="C780">
        <v>3.8096999999999999</v>
      </c>
    </row>
    <row r="781" spans="1:3" x14ac:dyDescent="0.35">
      <c r="A781" s="12">
        <v>43425</v>
      </c>
      <c r="B781" s="12">
        <f t="shared" si="12"/>
        <v>43405</v>
      </c>
      <c r="C781">
        <v>3.7866</v>
      </c>
    </row>
    <row r="782" spans="1:3" x14ac:dyDescent="0.35">
      <c r="A782" s="12">
        <v>43424</v>
      </c>
      <c r="B782" s="12">
        <f t="shared" si="12"/>
        <v>43405</v>
      </c>
      <c r="C782">
        <v>3.7574000000000001</v>
      </c>
    </row>
    <row r="783" spans="1:3" x14ac:dyDescent="0.35">
      <c r="A783" s="12">
        <v>43423</v>
      </c>
      <c r="B783" s="12">
        <f t="shared" si="12"/>
        <v>43405</v>
      </c>
      <c r="C783">
        <v>3.7547000000000001</v>
      </c>
    </row>
    <row r="784" spans="1:3" x14ac:dyDescent="0.35">
      <c r="A784" s="12">
        <v>43420</v>
      </c>
      <c r="B784" s="12">
        <f t="shared" si="12"/>
        <v>43405</v>
      </c>
      <c r="C784">
        <v>3.7519</v>
      </c>
    </row>
    <row r="785" spans="1:3" x14ac:dyDescent="0.35">
      <c r="A785" s="12">
        <v>43418</v>
      </c>
      <c r="B785" s="12">
        <f t="shared" si="12"/>
        <v>43405</v>
      </c>
      <c r="C785">
        <v>3.7917999999999998</v>
      </c>
    </row>
    <row r="786" spans="1:3" x14ac:dyDescent="0.35">
      <c r="A786" s="12">
        <v>43417</v>
      </c>
      <c r="B786" s="12">
        <f t="shared" si="12"/>
        <v>43405</v>
      </c>
      <c r="C786">
        <v>3.7786</v>
      </c>
    </row>
    <row r="787" spans="1:3" x14ac:dyDescent="0.35">
      <c r="A787" s="12">
        <v>43416</v>
      </c>
      <c r="B787" s="12">
        <f t="shared" si="12"/>
        <v>43405</v>
      </c>
      <c r="C787">
        <v>3.7471999999999999</v>
      </c>
    </row>
    <row r="788" spans="1:3" x14ac:dyDescent="0.35">
      <c r="A788" s="12">
        <v>43413</v>
      </c>
      <c r="B788" s="12">
        <f t="shared" si="12"/>
        <v>43405</v>
      </c>
      <c r="C788">
        <v>3.75</v>
      </c>
    </row>
    <row r="789" spans="1:3" x14ac:dyDescent="0.35">
      <c r="A789" s="12">
        <v>43412</v>
      </c>
      <c r="B789" s="12">
        <f t="shared" si="12"/>
        <v>43405</v>
      </c>
      <c r="C789">
        <v>3.7385000000000002</v>
      </c>
    </row>
    <row r="790" spans="1:3" x14ac:dyDescent="0.35">
      <c r="A790" s="12">
        <v>43411</v>
      </c>
      <c r="B790" s="12">
        <f t="shared" si="12"/>
        <v>43405</v>
      </c>
      <c r="C790">
        <v>3.7585999999999999</v>
      </c>
    </row>
    <row r="791" spans="1:3" x14ac:dyDescent="0.35">
      <c r="A791" s="12">
        <v>43410</v>
      </c>
      <c r="B791" s="12">
        <f t="shared" si="12"/>
        <v>43405</v>
      </c>
      <c r="C791">
        <v>3.7486000000000002</v>
      </c>
    </row>
    <row r="792" spans="1:3" x14ac:dyDescent="0.35">
      <c r="A792" s="12">
        <v>43409</v>
      </c>
      <c r="B792" s="12">
        <f t="shared" si="12"/>
        <v>43405</v>
      </c>
      <c r="C792">
        <v>3.7042000000000002</v>
      </c>
    </row>
    <row r="793" spans="1:3" x14ac:dyDescent="0.35">
      <c r="A793" s="12">
        <v>43405</v>
      </c>
      <c r="B793" s="12">
        <f t="shared" si="12"/>
        <v>43405</v>
      </c>
      <c r="C793">
        <v>3.6968000000000001</v>
      </c>
    </row>
    <row r="794" spans="1:3" x14ac:dyDescent="0.35">
      <c r="A794" s="12">
        <v>43404</v>
      </c>
      <c r="B794" s="12">
        <f t="shared" si="12"/>
        <v>43374</v>
      </c>
      <c r="C794">
        <v>3.7170999999999998</v>
      </c>
    </row>
    <row r="795" spans="1:3" x14ac:dyDescent="0.35">
      <c r="A795" s="12">
        <v>43403</v>
      </c>
      <c r="B795" s="12">
        <f t="shared" si="12"/>
        <v>43374</v>
      </c>
      <c r="C795">
        <v>3.7012999999999998</v>
      </c>
    </row>
    <row r="796" spans="1:3" x14ac:dyDescent="0.35">
      <c r="A796" s="12">
        <v>43402</v>
      </c>
      <c r="B796" s="12">
        <f t="shared" si="12"/>
        <v>43374</v>
      </c>
      <c r="C796">
        <v>3.6362000000000001</v>
      </c>
    </row>
    <row r="797" spans="1:3" x14ac:dyDescent="0.35">
      <c r="A797" s="12">
        <v>43399</v>
      </c>
      <c r="B797" s="12">
        <f t="shared" si="12"/>
        <v>43374</v>
      </c>
      <c r="C797">
        <v>3.6745999999999999</v>
      </c>
    </row>
    <row r="798" spans="1:3" x14ac:dyDescent="0.35">
      <c r="A798" s="12">
        <v>43398</v>
      </c>
      <c r="B798" s="12">
        <f t="shared" si="12"/>
        <v>43374</v>
      </c>
      <c r="C798">
        <v>3.7008000000000001</v>
      </c>
    </row>
    <row r="799" spans="1:3" x14ac:dyDescent="0.35">
      <c r="A799" s="12">
        <v>43397</v>
      </c>
      <c r="B799" s="12">
        <f t="shared" si="12"/>
        <v>43374</v>
      </c>
      <c r="C799">
        <v>3.7054</v>
      </c>
    </row>
    <row r="800" spans="1:3" x14ac:dyDescent="0.35">
      <c r="A800" s="12">
        <v>43396</v>
      </c>
      <c r="B800" s="12">
        <f t="shared" si="12"/>
        <v>43374</v>
      </c>
      <c r="C800">
        <v>3.7073999999999998</v>
      </c>
    </row>
    <row r="801" spans="1:3" x14ac:dyDescent="0.35">
      <c r="A801" s="12">
        <v>43395</v>
      </c>
      <c r="B801" s="12">
        <f t="shared" si="12"/>
        <v>43374</v>
      </c>
      <c r="C801">
        <v>3.6897000000000002</v>
      </c>
    </row>
    <row r="802" spans="1:3" x14ac:dyDescent="0.35">
      <c r="A802" s="12">
        <v>43392</v>
      </c>
      <c r="B802" s="12">
        <f t="shared" si="12"/>
        <v>43374</v>
      </c>
      <c r="C802">
        <v>3.7073</v>
      </c>
    </row>
    <row r="803" spans="1:3" x14ac:dyDescent="0.35">
      <c r="A803" s="12">
        <v>43391</v>
      </c>
      <c r="B803" s="12">
        <f t="shared" si="12"/>
        <v>43374</v>
      </c>
      <c r="C803">
        <v>3.6957</v>
      </c>
    </row>
    <row r="804" spans="1:3" x14ac:dyDescent="0.35">
      <c r="A804" s="12">
        <v>43390</v>
      </c>
      <c r="B804" s="12">
        <f t="shared" si="12"/>
        <v>43374</v>
      </c>
      <c r="C804">
        <v>3.7002000000000002</v>
      </c>
    </row>
    <row r="805" spans="1:3" x14ac:dyDescent="0.35">
      <c r="A805" s="12">
        <v>43389</v>
      </c>
      <c r="B805" s="12">
        <f t="shared" si="12"/>
        <v>43374</v>
      </c>
      <c r="C805">
        <v>3.7073</v>
      </c>
    </row>
    <row r="806" spans="1:3" x14ac:dyDescent="0.35">
      <c r="A806" s="12">
        <v>43388</v>
      </c>
      <c r="B806" s="12">
        <f t="shared" si="12"/>
        <v>43374</v>
      </c>
      <c r="C806">
        <v>3.7326000000000001</v>
      </c>
    </row>
    <row r="807" spans="1:3" x14ac:dyDescent="0.35">
      <c r="A807" s="12">
        <v>43384</v>
      </c>
      <c r="B807" s="12">
        <f t="shared" si="12"/>
        <v>43374</v>
      </c>
      <c r="C807">
        <v>3.7454000000000001</v>
      </c>
    </row>
    <row r="808" spans="1:3" x14ac:dyDescent="0.35">
      <c r="A808" s="12">
        <v>43383</v>
      </c>
      <c r="B808" s="12">
        <f t="shared" si="12"/>
        <v>43374</v>
      </c>
      <c r="C808">
        <v>3.7504</v>
      </c>
    </row>
    <row r="809" spans="1:3" x14ac:dyDescent="0.35">
      <c r="A809" s="12">
        <v>43382</v>
      </c>
      <c r="B809" s="12">
        <f t="shared" si="12"/>
        <v>43374</v>
      </c>
      <c r="C809">
        <v>3.7385000000000002</v>
      </c>
    </row>
    <row r="810" spans="1:3" x14ac:dyDescent="0.35">
      <c r="A810" s="12">
        <v>43381</v>
      </c>
      <c r="B810" s="12">
        <f t="shared" si="12"/>
        <v>43374</v>
      </c>
      <c r="C810">
        <v>3.7582</v>
      </c>
    </row>
    <row r="811" spans="1:3" x14ac:dyDescent="0.35">
      <c r="A811" s="12">
        <v>43378</v>
      </c>
      <c r="B811" s="12">
        <f t="shared" si="12"/>
        <v>43374</v>
      </c>
      <c r="C811">
        <v>3.8693</v>
      </c>
    </row>
    <row r="812" spans="1:3" x14ac:dyDescent="0.35">
      <c r="A812" s="12">
        <v>43377</v>
      </c>
      <c r="B812" s="12">
        <f t="shared" si="12"/>
        <v>43374</v>
      </c>
      <c r="C812">
        <v>3.9041000000000001</v>
      </c>
    </row>
    <row r="813" spans="1:3" x14ac:dyDescent="0.35">
      <c r="A813" s="12">
        <v>43376</v>
      </c>
      <c r="B813" s="12">
        <f t="shared" si="12"/>
        <v>43374</v>
      </c>
      <c r="C813">
        <v>3.8536000000000001</v>
      </c>
    </row>
    <row r="814" spans="1:3" x14ac:dyDescent="0.35">
      <c r="A814" s="12">
        <v>43375</v>
      </c>
      <c r="B814" s="12">
        <f t="shared" si="12"/>
        <v>43374</v>
      </c>
      <c r="C814">
        <v>3.9499</v>
      </c>
    </row>
    <row r="815" spans="1:3" x14ac:dyDescent="0.35">
      <c r="A815" s="12">
        <v>43374</v>
      </c>
      <c r="B815" s="12">
        <f t="shared" si="12"/>
        <v>43374</v>
      </c>
      <c r="C815">
        <v>4.0266999999999999</v>
      </c>
    </row>
    <row r="816" spans="1:3" x14ac:dyDescent="0.35">
      <c r="A816" s="12">
        <v>43371</v>
      </c>
      <c r="B816" s="12">
        <f t="shared" si="12"/>
        <v>43344</v>
      </c>
      <c r="C816">
        <v>4.0033000000000003</v>
      </c>
    </row>
    <row r="817" spans="1:3" x14ac:dyDescent="0.35">
      <c r="A817" s="12">
        <v>43370</v>
      </c>
      <c r="B817" s="12">
        <f t="shared" si="12"/>
        <v>43344</v>
      </c>
      <c r="C817">
        <v>4.0086000000000004</v>
      </c>
    </row>
    <row r="818" spans="1:3" x14ac:dyDescent="0.35">
      <c r="A818" s="12">
        <v>43369</v>
      </c>
      <c r="B818" s="12">
        <f t="shared" si="12"/>
        <v>43344</v>
      </c>
      <c r="C818">
        <v>4.0564</v>
      </c>
    </row>
    <row r="819" spans="1:3" x14ac:dyDescent="0.35">
      <c r="A819" s="12">
        <v>43368</v>
      </c>
      <c r="B819" s="12">
        <f t="shared" si="12"/>
        <v>43344</v>
      </c>
      <c r="C819">
        <v>4.1280000000000001</v>
      </c>
    </row>
    <row r="820" spans="1:3" x14ac:dyDescent="0.35">
      <c r="A820" s="12">
        <v>43367</v>
      </c>
      <c r="B820" s="12">
        <f t="shared" si="12"/>
        <v>43344</v>
      </c>
      <c r="C820">
        <v>4.0587999999999997</v>
      </c>
    </row>
    <row r="821" spans="1:3" x14ac:dyDescent="0.35">
      <c r="A821" s="12">
        <v>43364</v>
      </c>
      <c r="B821" s="12">
        <f t="shared" si="12"/>
        <v>43344</v>
      </c>
      <c r="C821">
        <v>4.0721999999999996</v>
      </c>
    </row>
    <row r="822" spans="1:3" x14ac:dyDescent="0.35">
      <c r="A822" s="12">
        <v>43363</v>
      </c>
      <c r="B822" s="12">
        <f t="shared" si="12"/>
        <v>43344</v>
      </c>
      <c r="C822">
        <v>4.0991</v>
      </c>
    </row>
    <row r="823" spans="1:3" x14ac:dyDescent="0.35">
      <c r="A823" s="12">
        <v>43362</v>
      </c>
      <c r="B823" s="12">
        <f t="shared" si="12"/>
        <v>43344</v>
      </c>
      <c r="C823">
        <v>4.1345000000000001</v>
      </c>
    </row>
    <row r="824" spans="1:3" x14ac:dyDescent="0.35">
      <c r="A824" s="12">
        <v>43361</v>
      </c>
      <c r="B824" s="12">
        <f t="shared" si="12"/>
        <v>43344</v>
      </c>
      <c r="C824">
        <v>4.1363000000000003</v>
      </c>
    </row>
    <row r="825" spans="1:3" x14ac:dyDescent="0.35">
      <c r="A825" s="12">
        <v>43360</v>
      </c>
      <c r="B825" s="12">
        <f t="shared" si="12"/>
        <v>43344</v>
      </c>
      <c r="C825">
        <v>4.1688999999999998</v>
      </c>
    </row>
    <row r="826" spans="1:3" x14ac:dyDescent="0.35">
      <c r="A826" s="12">
        <v>43357</v>
      </c>
      <c r="B826" s="12">
        <f t="shared" si="12"/>
        <v>43344</v>
      </c>
      <c r="C826">
        <v>4.1872999999999996</v>
      </c>
    </row>
    <row r="827" spans="1:3" x14ac:dyDescent="0.35">
      <c r="A827" s="12">
        <v>43356</v>
      </c>
      <c r="B827" s="12">
        <f t="shared" si="12"/>
        <v>43344</v>
      </c>
      <c r="C827">
        <v>4.1631</v>
      </c>
    </row>
    <row r="828" spans="1:3" x14ac:dyDescent="0.35">
      <c r="A828" s="12">
        <v>43355</v>
      </c>
      <c r="B828" s="12">
        <f t="shared" si="12"/>
        <v>43344</v>
      </c>
      <c r="C828">
        <v>4.1253000000000002</v>
      </c>
    </row>
    <row r="829" spans="1:3" x14ac:dyDescent="0.35">
      <c r="A829" s="12">
        <v>43354</v>
      </c>
      <c r="B829" s="12">
        <f t="shared" si="12"/>
        <v>43344</v>
      </c>
      <c r="C829">
        <v>4.1635</v>
      </c>
    </row>
    <row r="830" spans="1:3" x14ac:dyDescent="0.35">
      <c r="A830" s="12">
        <v>43353</v>
      </c>
      <c r="B830" s="12">
        <f t="shared" si="12"/>
        <v>43344</v>
      </c>
      <c r="C830">
        <v>4.1001000000000003</v>
      </c>
    </row>
    <row r="831" spans="1:3" x14ac:dyDescent="0.35">
      <c r="A831" s="12">
        <v>43349</v>
      </c>
      <c r="B831" s="12">
        <f t="shared" si="12"/>
        <v>43344</v>
      </c>
      <c r="C831">
        <v>4.1454000000000004</v>
      </c>
    </row>
    <row r="832" spans="1:3" x14ac:dyDescent="0.35">
      <c r="A832" s="12">
        <v>43348</v>
      </c>
      <c r="B832" s="12">
        <f t="shared" si="12"/>
        <v>43344</v>
      </c>
      <c r="C832">
        <v>4.1603000000000003</v>
      </c>
    </row>
    <row r="833" spans="1:3" x14ac:dyDescent="0.35">
      <c r="A833" s="12">
        <v>43347</v>
      </c>
      <c r="B833" s="12">
        <f t="shared" si="12"/>
        <v>43344</v>
      </c>
      <c r="C833">
        <v>4.1646000000000001</v>
      </c>
    </row>
    <row r="834" spans="1:3" x14ac:dyDescent="0.35">
      <c r="A834" s="12">
        <v>43346</v>
      </c>
      <c r="B834" s="12">
        <f t="shared" si="12"/>
        <v>43344</v>
      </c>
      <c r="C834">
        <v>4.1273</v>
      </c>
    </row>
    <row r="835" spans="1:3" x14ac:dyDescent="0.35">
      <c r="A835" s="12">
        <v>43343</v>
      </c>
      <c r="B835" s="12">
        <f t="shared" ref="B835:B898" si="13">DATE(YEAR(A835),MONTH(A835),DAY(1))</f>
        <v>43313</v>
      </c>
      <c r="C835">
        <v>4.1346999999999996</v>
      </c>
    </row>
    <row r="836" spans="1:3" x14ac:dyDescent="0.35">
      <c r="A836" s="12">
        <v>43342</v>
      </c>
      <c r="B836" s="12">
        <f t="shared" si="13"/>
        <v>43313</v>
      </c>
      <c r="C836">
        <v>4.1806000000000001</v>
      </c>
    </row>
    <row r="837" spans="1:3" x14ac:dyDescent="0.35">
      <c r="A837" s="12">
        <v>43341</v>
      </c>
      <c r="B837" s="12">
        <f t="shared" si="13"/>
        <v>43313</v>
      </c>
      <c r="C837">
        <v>4.1346999999999996</v>
      </c>
    </row>
    <row r="838" spans="1:3" x14ac:dyDescent="0.35">
      <c r="A838" s="12">
        <v>43340</v>
      </c>
      <c r="B838" s="12">
        <f t="shared" si="13"/>
        <v>43313</v>
      </c>
      <c r="C838">
        <v>4.1185999999999998</v>
      </c>
    </row>
    <row r="839" spans="1:3" x14ac:dyDescent="0.35">
      <c r="A839" s="12">
        <v>43339</v>
      </c>
      <c r="B839" s="12">
        <f t="shared" si="13"/>
        <v>43313</v>
      </c>
      <c r="C839">
        <v>4.0681000000000003</v>
      </c>
    </row>
    <row r="840" spans="1:3" x14ac:dyDescent="0.35">
      <c r="A840" s="12">
        <v>43336</v>
      </c>
      <c r="B840" s="12">
        <f t="shared" si="13"/>
        <v>43313</v>
      </c>
      <c r="C840">
        <v>4.0848000000000004</v>
      </c>
    </row>
    <row r="841" spans="1:3" x14ac:dyDescent="0.35">
      <c r="A841" s="12">
        <v>43335</v>
      </c>
      <c r="B841" s="12">
        <f t="shared" si="13"/>
        <v>43313</v>
      </c>
      <c r="C841">
        <v>4.0720999999999998</v>
      </c>
    </row>
    <row r="842" spans="1:3" x14ac:dyDescent="0.35">
      <c r="A842" s="12">
        <v>43334</v>
      </c>
      <c r="B842" s="12">
        <f t="shared" si="13"/>
        <v>43313</v>
      </c>
      <c r="C842">
        <v>4.0734000000000004</v>
      </c>
    </row>
    <row r="843" spans="1:3" x14ac:dyDescent="0.35">
      <c r="A843" s="12">
        <v>43333</v>
      </c>
      <c r="B843" s="12">
        <f t="shared" si="13"/>
        <v>43313</v>
      </c>
      <c r="C843">
        <v>3.9866999999999999</v>
      </c>
    </row>
    <row r="844" spans="1:3" x14ac:dyDescent="0.35">
      <c r="A844" s="12">
        <v>43332</v>
      </c>
      <c r="B844" s="12">
        <f t="shared" si="13"/>
        <v>43313</v>
      </c>
      <c r="C844">
        <v>3.9424000000000001</v>
      </c>
    </row>
    <row r="845" spans="1:3" x14ac:dyDescent="0.35">
      <c r="A845" s="12">
        <v>43329</v>
      </c>
      <c r="B845" s="12">
        <f t="shared" si="13"/>
        <v>43313</v>
      </c>
      <c r="C845">
        <v>3.9382999999999999</v>
      </c>
    </row>
    <row r="846" spans="1:3" x14ac:dyDescent="0.35">
      <c r="A846" s="12">
        <v>43328</v>
      </c>
      <c r="B846" s="12">
        <f t="shared" si="13"/>
        <v>43313</v>
      </c>
      <c r="C846">
        <v>3.8803999999999998</v>
      </c>
    </row>
    <row r="847" spans="1:3" x14ac:dyDescent="0.35">
      <c r="A847" s="12">
        <v>43327</v>
      </c>
      <c r="B847" s="12">
        <f t="shared" si="13"/>
        <v>43313</v>
      </c>
      <c r="C847">
        <v>3.9127999999999998</v>
      </c>
    </row>
    <row r="848" spans="1:3" x14ac:dyDescent="0.35">
      <c r="A848" s="12">
        <v>43326</v>
      </c>
      <c r="B848" s="12">
        <f t="shared" si="13"/>
        <v>43313</v>
      </c>
      <c r="C848">
        <v>3.8805999999999998</v>
      </c>
    </row>
    <row r="849" spans="1:3" x14ac:dyDescent="0.35">
      <c r="A849" s="12">
        <v>43325</v>
      </c>
      <c r="B849" s="12">
        <f t="shared" si="13"/>
        <v>43313</v>
      </c>
      <c r="C849">
        <v>3.8982000000000001</v>
      </c>
    </row>
    <row r="850" spans="1:3" x14ac:dyDescent="0.35">
      <c r="A850" s="12">
        <v>43322</v>
      </c>
      <c r="B850" s="12">
        <f t="shared" si="13"/>
        <v>43313</v>
      </c>
      <c r="C850">
        <v>3.8466</v>
      </c>
    </row>
    <row r="851" spans="1:3" x14ac:dyDescent="0.35">
      <c r="A851" s="12">
        <v>43321</v>
      </c>
      <c r="B851" s="12">
        <f t="shared" si="13"/>
        <v>43313</v>
      </c>
      <c r="C851">
        <v>3.8024</v>
      </c>
    </row>
    <row r="852" spans="1:3" x14ac:dyDescent="0.35">
      <c r="A852" s="12">
        <v>43320</v>
      </c>
      <c r="B852" s="12">
        <f t="shared" si="13"/>
        <v>43313</v>
      </c>
      <c r="C852">
        <v>3.7513000000000001</v>
      </c>
    </row>
    <row r="853" spans="1:3" x14ac:dyDescent="0.35">
      <c r="A853" s="12">
        <v>43319</v>
      </c>
      <c r="B853" s="12">
        <f t="shared" si="13"/>
        <v>43313</v>
      </c>
      <c r="C853">
        <v>3.7111999999999998</v>
      </c>
    </row>
    <row r="854" spans="1:3" x14ac:dyDescent="0.35">
      <c r="A854" s="12">
        <v>43318</v>
      </c>
      <c r="B854" s="12">
        <f t="shared" si="13"/>
        <v>43313</v>
      </c>
      <c r="C854">
        <v>3.7208000000000001</v>
      </c>
    </row>
    <row r="855" spans="1:3" x14ac:dyDescent="0.35">
      <c r="A855" s="12">
        <v>43315</v>
      </c>
      <c r="B855" s="12">
        <f t="shared" si="13"/>
        <v>43313</v>
      </c>
      <c r="C855">
        <v>3.7195</v>
      </c>
    </row>
    <row r="856" spans="1:3" x14ac:dyDescent="0.35">
      <c r="A856" s="12">
        <v>43314</v>
      </c>
      <c r="B856" s="12">
        <f t="shared" si="13"/>
        <v>43313</v>
      </c>
      <c r="C856">
        <v>3.7639</v>
      </c>
    </row>
    <row r="857" spans="1:3" x14ac:dyDescent="0.35">
      <c r="A857" s="12">
        <v>43313</v>
      </c>
      <c r="B857" s="12">
        <f t="shared" si="13"/>
        <v>43313</v>
      </c>
      <c r="C857">
        <v>3.7484999999999999</v>
      </c>
    </row>
    <row r="858" spans="1:3" x14ac:dyDescent="0.35">
      <c r="A858" s="12">
        <v>43312</v>
      </c>
      <c r="B858" s="12">
        <f t="shared" si="13"/>
        <v>43282</v>
      </c>
      <c r="C858">
        <v>3.7543000000000002</v>
      </c>
    </row>
    <row r="859" spans="1:3" x14ac:dyDescent="0.35">
      <c r="A859" s="12">
        <v>43311</v>
      </c>
      <c r="B859" s="12">
        <f t="shared" si="13"/>
        <v>43282</v>
      </c>
      <c r="C859">
        <v>3.7149000000000001</v>
      </c>
    </row>
    <row r="860" spans="1:3" x14ac:dyDescent="0.35">
      <c r="A860" s="12">
        <v>43308</v>
      </c>
      <c r="B860" s="12">
        <f t="shared" si="13"/>
        <v>43282</v>
      </c>
      <c r="C860">
        <v>3.7158000000000002</v>
      </c>
    </row>
    <row r="861" spans="1:3" x14ac:dyDescent="0.35">
      <c r="A861" s="12">
        <v>43307</v>
      </c>
      <c r="B861" s="12">
        <f t="shared" si="13"/>
        <v>43282</v>
      </c>
      <c r="C861">
        <v>3.7237</v>
      </c>
    </row>
    <row r="862" spans="1:3" x14ac:dyDescent="0.35">
      <c r="A862" s="12">
        <v>43306</v>
      </c>
      <c r="B862" s="12">
        <f t="shared" si="13"/>
        <v>43282</v>
      </c>
      <c r="C862">
        <v>3.7113999999999998</v>
      </c>
    </row>
    <row r="863" spans="1:3" x14ac:dyDescent="0.35">
      <c r="A863" s="12">
        <v>43305</v>
      </c>
      <c r="B863" s="12">
        <f t="shared" si="13"/>
        <v>43282</v>
      </c>
      <c r="C863">
        <v>3.7452999999999999</v>
      </c>
    </row>
    <row r="864" spans="1:3" x14ac:dyDescent="0.35">
      <c r="A864" s="12">
        <v>43304</v>
      </c>
      <c r="B864" s="12">
        <f t="shared" si="13"/>
        <v>43282</v>
      </c>
      <c r="C864">
        <v>3.7909000000000002</v>
      </c>
    </row>
    <row r="865" spans="1:3" x14ac:dyDescent="0.35">
      <c r="A865" s="12">
        <v>43301</v>
      </c>
      <c r="B865" s="12">
        <f t="shared" si="13"/>
        <v>43282</v>
      </c>
      <c r="C865">
        <v>3.7787000000000002</v>
      </c>
    </row>
    <row r="866" spans="1:3" x14ac:dyDescent="0.35">
      <c r="A866" s="12">
        <v>43300</v>
      </c>
      <c r="B866" s="12">
        <f t="shared" si="13"/>
        <v>43282</v>
      </c>
      <c r="C866">
        <v>3.8841000000000001</v>
      </c>
    </row>
    <row r="867" spans="1:3" x14ac:dyDescent="0.35">
      <c r="A867" s="12">
        <v>43299</v>
      </c>
      <c r="B867" s="12">
        <f t="shared" si="13"/>
        <v>43282</v>
      </c>
      <c r="C867">
        <v>3.8468</v>
      </c>
    </row>
    <row r="868" spans="1:3" x14ac:dyDescent="0.35">
      <c r="A868" s="12">
        <v>43298</v>
      </c>
      <c r="B868" s="12">
        <f t="shared" si="13"/>
        <v>43282</v>
      </c>
      <c r="C868">
        <v>3.8664999999999998</v>
      </c>
    </row>
    <row r="869" spans="1:3" x14ac:dyDescent="0.35">
      <c r="A869" s="12">
        <v>43297</v>
      </c>
      <c r="B869" s="12">
        <f t="shared" si="13"/>
        <v>43282</v>
      </c>
      <c r="C869">
        <v>3.8573</v>
      </c>
    </row>
    <row r="870" spans="1:3" x14ac:dyDescent="0.35">
      <c r="A870" s="12">
        <v>43294</v>
      </c>
      <c r="B870" s="12">
        <f t="shared" si="13"/>
        <v>43282</v>
      </c>
      <c r="C870">
        <v>3.8738999999999999</v>
      </c>
    </row>
    <row r="871" spans="1:3" x14ac:dyDescent="0.35">
      <c r="A871" s="12">
        <v>43293</v>
      </c>
      <c r="B871" s="12">
        <f t="shared" si="13"/>
        <v>43282</v>
      </c>
      <c r="C871">
        <v>3.8557999999999999</v>
      </c>
    </row>
    <row r="872" spans="1:3" x14ac:dyDescent="0.35">
      <c r="A872" s="12">
        <v>43292</v>
      </c>
      <c r="B872" s="12">
        <f t="shared" si="13"/>
        <v>43282</v>
      </c>
      <c r="C872">
        <v>3.8411</v>
      </c>
    </row>
    <row r="873" spans="1:3" x14ac:dyDescent="0.35">
      <c r="A873" s="12">
        <v>43291</v>
      </c>
      <c r="B873" s="12">
        <f t="shared" si="13"/>
        <v>43282</v>
      </c>
      <c r="C873">
        <v>3.8445999999999998</v>
      </c>
    </row>
    <row r="874" spans="1:3" x14ac:dyDescent="0.35">
      <c r="A874" s="12">
        <v>43290</v>
      </c>
      <c r="B874" s="12">
        <f t="shared" si="13"/>
        <v>43282</v>
      </c>
      <c r="C874">
        <v>3.8679999999999999</v>
      </c>
    </row>
    <row r="875" spans="1:3" x14ac:dyDescent="0.35">
      <c r="A875" s="12">
        <v>43287</v>
      </c>
      <c r="B875" s="12">
        <f t="shared" si="13"/>
        <v>43282</v>
      </c>
      <c r="C875">
        <v>3.9258000000000002</v>
      </c>
    </row>
    <row r="876" spans="1:3" x14ac:dyDescent="0.35">
      <c r="A876" s="12">
        <v>43286</v>
      </c>
      <c r="B876" s="12">
        <f t="shared" si="13"/>
        <v>43282</v>
      </c>
      <c r="C876">
        <v>3.9186000000000001</v>
      </c>
    </row>
    <row r="877" spans="1:3" x14ac:dyDescent="0.35">
      <c r="A877" s="12">
        <v>43285</v>
      </c>
      <c r="B877" s="12">
        <f t="shared" si="13"/>
        <v>43282</v>
      </c>
      <c r="C877">
        <v>3.9051999999999998</v>
      </c>
    </row>
    <row r="878" spans="1:3" x14ac:dyDescent="0.35">
      <c r="A878" s="12">
        <v>43284</v>
      </c>
      <c r="B878" s="12">
        <f t="shared" si="13"/>
        <v>43282</v>
      </c>
      <c r="C878">
        <v>3.8914</v>
      </c>
    </row>
    <row r="879" spans="1:3" x14ac:dyDescent="0.35">
      <c r="A879" s="12">
        <v>43283</v>
      </c>
      <c r="B879" s="12">
        <f t="shared" si="13"/>
        <v>43282</v>
      </c>
      <c r="C879">
        <v>3.9049</v>
      </c>
    </row>
    <row r="880" spans="1:3" x14ac:dyDescent="0.35">
      <c r="A880" s="12">
        <v>43280</v>
      </c>
      <c r="B880" s="12">
        <f t="shared" si="13"/>
        <v>43252</v>
      </c>
      <c r="C880">
        <v>3.8552</v>
      </c>
    </row>
    <row r="881" spans="1:3" x14ac:dyDescent="0.35">
      <c r="A881" s="12">
        <v>43279</v>
      </c>
      <c r="B881" s="12">
        <f t="shared" si="13"/>
        <v>43252</v>
      </c>
      <c r="C881">
        <v>3.8515000000000001</v>
      </c>
    </row>
    <row r="882" spans="1:3" x14ac:dyDescent="0.35">
      <c r="A882" s="12">
        <v>43278</v>
      </c>
      <c r="B882" s="12">
        <f t="shared" si="13"/>
        <v>43252</v>
      </c>
      <c r="C882">
        <v>3.8351999999999999</v>
      </c>
    </row>
    <row r="883" spans="1:3" x14ac:dyDescent="0.35">
      <c r="A883" s="12">
        <v>43277</v>
      </c>
      <c r="B883" s="12">
        <f t="shared" si="13"/>
        <v>43252</v>
      </c>
      <c r="C883">
        <v>3.7715000000000001</v>
      </c>
    </row>
    <row r="884" spans="1:3" x14ac:dyDescent="0.35">
      <c r="A884" s="12">
        <v>43276</v>
      </c>
      <c r="B884" s="12">
        <f t="shared" si="13"/>
        <v>43252</v>
      </c>
      <c r="C884">
        <v>3.7753999999999999</v>
      </c>
    </row>
    <row r="885" spans="1:3" x14ac:dyDescent="0.35">
      <c r="A885" s="12">
        <v>43273</v>
      </c>
      <c r="B885" s="12">
        <f t="shared" si="13"/>
        <v>43252</v>
      </c>
      <c r="C885">
        <v>3.7656999999999998</v>
      </c>
    </row>
    <row r="886" spans="1:3" x14ac:dyDescent="0.35">
      <c r="A886" s="12">
        <v>43272</v>
      </c>
      <c r="B886" s="12">
        <f t="shared" si="13"/>
        <v>43252</v>
      </c>
      <c r="C886">
        <v>3.7888000000000002</v>
      </c>
    </row>
    <row r="887" spans="1:3" x14ac:dyDescent="0.35">
      <c r="A887" s="12">
        <v>43271</v>
      </c>
      <c r="B887" s="12">
        <f t="shared" si="13"/>
        <v>43252</v>
      </c>
      <c r="C887">
        <v>3.7328999999999999</v>
      </c>
    </row>
    <row r="888" spans="1:3" x14ac:dyDescent="0.35">
      <c r="A888" s="12">
        <v>43270</v>
      </c>
      <c r="B888" s="12">
        <f t="shared" si="13"/>
        <v>43252</v>
      </c>
      <c r="C888">
        <v>3.7559999999999998</v>
      </c>
    </row>
    <row r="889" spans="1:3" x14ac:dyDescent="0.35">
      <c r="A889" s="12">
        <v>43269</v>
      </c>
      <c r="B889" s="12">
        <f t="shared" si="13"/>
        <v>43252</v>
      </c>
      <c r="C889">
        <v>3.7536999999999998</v>
      </c>
    </row>
    <row r="890" spans="1:3" x14ac:dyDescent="0.35">
      <c r="A890" s="12">
        <v>43266</v>
      </c>
      <c r="B890" s="12">
        <f t="shared" si="13"/>
        <v>43252</v>
      </c>
      <c r="C890">
        <v>3.7732000000000001</v>
      </c>
    </row>
    <row r="891" spans="1:3" x14ac:dyDescent="0.35">
      <c r="A891" s="12">
        <v>43265</v>
      </c>
      <c r="B891" s="12">
        <f t="shared" si="13"/>
        <v>43252</v>
      </c>
      <c r="C891">
        <v>3.7050999999999998</v>
      </c>
    </row>
    <row r="892" spans="1:3" x14ac:dyDescent="0.35">
      <c r="A892" s="12">
        <v>43264</v>
      </c>
      <c r="B892" s="12">
        <f t="shared" si="13"/>
        <v>43252</v>
      </c>
      <c r="C892">
        <v>3.7048000000000001</v>
      </c>
    </row>
    <row r="893" spans="1:3" x14ac:dyDescent="0.35">
      <c r="A893" s="12">
        <v>43263</v>
      </c>
      <c r="B893" s="12">
        <f t="shared" si="13"/>
        <v>43252</v>
      </c>
      <c r="C893">
        <v>3.7038000000000002</v>
      </c>
    </row>
    <row r="894" spans="1:3" x14ac:dyDescent="0.35">
      <c r="A894" s="12">
        <v>43262</v>
      </c>
      <c r="B894" s="12">
        <f t="shared" si="13"/>
        <v>43252</v>
      </c>
      <c r="C894">
        <v>3.6907000000000001</v>
      </c>
    </row>
    <row r="895" spans="1:3" x14ac:dyDescent="0.35">
      <c r="A895" s="12">
        <v>43259</v>
      </c>
      <c r="B895" s="12">
        <f t="shared" si="13"/>
        <v>43252</v>
      </c>
      <c r="C895">
        <v>3.7852999999999999</v>
      </c>
    </row>
    <row r="896" spans="1:3" x14ac:dyDescent="0.35">
      <c r="A896" s="12">
        <v>43258</v>
      </c>
      <c r="B896" s="12">
        <f t="shared" si="13"/>
        <v>43252</v>
      </c>
      <c r="C896">
        <v>3.8994</v>
      </c>
    </row>
    <row r="897" spans="1:3" x14ac:dyDescent="0.35">
      <c r="A897" s="12">
        <v>43257</v>
      </c>
      <c r="B897" s="12">
        <f t="shared" si="13"/>
        <v>43252</v>
      </c>
      <c r="C897">
        <v>3.8187000000000002</v>
      </c>
    </row>
    <row r="898" spans="1:3" x14ac:dyDescent="0.35">
      <c r="A898" s="12">
        <v>43256</v>
      </c>
      <c r="B898" s="12">
        <f t="shared" si="13"/>
        <v>43252</v>
      </c>
      <c r="C898">
        <v>3.7746</v>
      </c>
    </row>
    <row r="899" spans="1:3" x14ac:dyDescent="0.35">
      <c r="A899" s="12">
        <v>43255</v>
      </c>
      <c r="B899" s="12">
        <f t="shared" ref="B899:B962" si="14">DATE(YEAR(A899),MONTH(A899),DAY(1))</f>
        <v>43252</v>
      </c>
      <c r="C899">
        <v>3.7418</v>
      </c>
    </row>
    <row r="900" spans="1:3" x14ac:dyDescent="0.35">
      <c r="A900" s="12">
        <v>43252</v>
      </c>
      <c r="B900" s="12">
        <f t="shared" si="14"/>
        <v>43252</v>
      </c>
      <c r="C900">
        <v>3.7406999999999999</v>
      </c>
    </row>
    <row r="901" spans="1:3" x14ac:dyDescent="0.35">
      <c r="A901" s="12">
        <v>43250</v>
      </c>
      <c r="B901" s="12">
        <f t="shared" si="14"/>
        <v>43221</v>
      </c>
      <c r="C901">
        <v>3.7364000000000002</v>
      </c>
    </row>
    <row r="902" spans="1:3" x14ac:dyDescent="0.35">
      <c r="A902" s="12">
        <v>43249</v>
      </c>
      <c r="B902" s="12">
        <f t="shared" si="14"/>
        <v>43221</v>
      </c>
      <c r="C902">
        <v>3.7282999999999999</v>
      </c>
    </row>
    <row r="903" spans="1:3" x14ac:dyDescent="0.35">
      <c r="A903" s="12">
        <v>43248</v>
      </c>
      <c r="B903" s="12">
        <f t="shared" si="14"/>
        <v>43221</v>
      </c>
      <c r="C903">
        <v>3.7086000000000001</v>
      </c>
    </row>
    <row r="904" spans="1:3" x14ac:dyDescent="0.35">
      <c r="A904" s="12">
        <v>43245</v>
      </c>
      <c r="B904" s="12">
        <f t="shared" si="14"/>
        <v>43221</v>
      </c>
      <c r="C904">
        <v>3.6581000000000001</v>
      </c>
    </row>
    <row r="905" spans="1:3" x14ac:dyDescent="0.35">
      <c r="A905" s="12">
        <v>43244</v>
      </c>
      <c r="B905" s="12">
        <f t="shared" si="14"/>
        <v>43221</v>
      </c>
      <c r="C905">
        <v>3.6429999999999998</v>
      </c>
    </row>
    <row r="906" spans="1:3" x14ac:dyDescent="0.35">
      <c r="A906" s="12">
        <v>43243</v>
      </c>
      <c r="B906" s="12">
        <f t="shared" si="14"/>
        <v>43221</v>
      </c>
      <c r="C906">
        <v>3.6501000000000001</v>
      </c>
    </row>
    <row r="907" spans="1:3" x14ac:dyDescent="0.35">
      <c r="A907" s="12">
        <v>43242</v>
      </c>
      <c r="B907" s="12">
        <f t="shared" si="14"/>
        <v>43221</v>
      </c>
      <c r="C907">
        <v>3.6496</v>
      </c>
    </row>
    <row r="908" spans="1:3" x14ac:dyDescent="0.35">
      <c r="A908" s="12">
        <v>43241</v>
      </c>
      <c r="B908" s="12">
        <f t="shared" si="14"/>
        <v>43221</v>
      </c>
      <c r="C908">
        <v>3.7065999999999999</v>
      </c>
    </row>
    <row r="909" spans="1:3" x14ac:dyDescent="0.35">
      <c r="A909" s="12">
        <v>43238</v>
      </c>
      <c r="B909" s="12">
        <f t="shared" si="14"/>
        <v>43221</v>
      </c>
      <c r="C909">
        <v>3.7496999999999998</v>
      </c>
    </row>
    <row r="910" spans="1:3" x14ac:dyDescent="0.35">
      <c r="A910" s="12">
        <v>43237</v>
      </c>
      <c r="B910" s="12">
        <f t="shared" si="14"/>
        <v>43221</v>
      </c>
      <c r="C910">
        <v>3.6867999999999999</v>
      </c>
    </row>
    <row r="911" spans="1:3" x14ac:dyDescent="0.35">
      <c r="A911" s="12">
        <v>43236</v>
      </c>
      <c r="B911" s="12">
        <f t="shared" si="14"/>
        <v>43221</v>
      </c>
      <c r="C911">
        <v>3.6797</v>
      </c>
    </row>
    <row r="912" spans="1:3" x14ac:dyDescent="0.35">
      <c r="A912" s="12">
        <v>43235</v>
      </c>
      <c r="B912" s="12">
        <f t="shared" si="14"/>
        <v>43221</v>
      </c>
      <c r="C912">
        <v>3.6747000000000001</v>
      </c>
    </row>
    <row r="913" spans="1:3" x14ac:dyDescent="0.35">
      <c r="A913" s="12">
        <v>43234</v>
      </c>
      <c r="B913" s="12">
        <f t="shared" si="14"/>
        <v>43221</v>
      </c>
      <c r="C913">
        <v>3.6091000000000002</v>
      </c>
    </row>
    <row r="914" spans="1:3" x14ac:dyDescent="0.35">
      <c r="A914" s="12">
        <v>43231</v>
      </c>
      <c r="B914" s="12">
        <f t="shared" si="14"/>
        <v>43221</v>
      </c>
      <c r="C914">
        <v>3.5710000000000002</v>
      </c>
    </row>
    <row r="915" spans="1:3" x14ac:dyDescent="0.35">
      <c r="A915" s="12">
        <v>43230</v>
      </c>
      <c r="B915" s="12">
        <f t="shared" si="14"/>
        <v>43221</v>
      </c>
      <c r="C915">
        <v>3.5560999999999998</v>
      </c>
    </row>
    <row r="916" spans="1:3" x14ac:dyDescent="0.35">
      <c r="A916" s="12">
        <v>43229</v>
      </c>
      <c r="B916" s="12">
        <f t="shared" si="14"/>
        <v>43221</v>
      </c>
      <c r="C916">
        <v>3.5937000000000001</v>
      </c>
    </row>
    <row r="917" spans="1:3" x14ac:dyDescent="0.35">
      <c r="A917" s="12">
        <v>43228</v>
      </c>
      <c r="B917" s="12">
        <f t="shared" si="14"/>
        <v>43221</v>
      </c>
      <c r="C917">
        <v>3.5781999999999998</v>
      </c>
    </row>
    <row r="918" spans="1:3" x14ac:dyDescent="0.35">
      <c r="A918" s="12">
        <v>43227</v>
      </c>
      <c r="B918" s="12">
        <f t="shared" si="14"/>
        <v>43221</v>
      </c>
      <c r="C918">
        <v>3.5451999999999999</v>
      </c>
    </row>
    <row r="919" spans="1:3" x14ac:dyDescent="0.35">
      <c r="A919" s="12">
        <v>43224</v>
      </c>
      <c r="B919" s="12">
        <f t="shared" si="14"/>
        <v>43221</v>
      </c>
      <c r="C919">
        <v>3.5301999999999998</v>
      </c>
    </row>
    <row r="920" spans="1:3" x14ac:dyDescent="0.35">
      <c r="A920" s="12">
        <v>43223</v>
      </c>
      <c r="B920" s="12">
        <f t="shared" si="14"/>
        <v>43221</v>
      </c>
      <c r="C920">
        <v>3.5478000000000001</v>
      </c>
    </row>
    <row r="921" spans="1:3" x14ac:dyDescent="0.35">
      <c r="A921" s="12">
        <v>43222</v>
      </c>
      <c r="B921" s="12">
        <f t="shared" si="14"/>
        <v>43221</v>
      </c>
      <c r="C921">
        <v>3.5417999999999998</v>
      </c>
    </row>
    <row r="922" spans="1:3" x14ac:dyDescent="0.35">
      <c r="A922" s="12">
        <v>43220</v>
      </c>
      <c r="B922" s="12">
        <f t="shared" si="14"/>
        <v>43191</v>
      </c>
      <c r="C922">
        <v>3.4805000000000001</v>
      </c>
    </row>
    <row r="923" spans="1:3" x14ac:dyDescent="0.35">
      <c r="A923" s="12">
        <v>43217</v>
      </c>
      <c r="B923" s="12">
        <f t="shared" si="14"/>
        <v>43191</v>
      </c>
      <c r="C923">
        <v>3.4670000000000001</v>
      </c>
    </row>
    <row r="924" spans="1:3" x14ac:dyDescent="0.35">
      <c r="A924" s="12">
        <v>43216</v>
      </c>
      <c r="B924" s="12">
        <f t="shared" si="14"/>
        <v>43191</v>
      </c>
      <c r="C924">
        <v>3.4971000000000001</v>
      </c>
    </row>
    <row r="925" spans="1:3" x14ac:dyDescent="0.35">
      <c r="A925" s="12">
        <v>43215</v>
      </c>
      <c r="B925" s="12">
        <f t="shared" si="14"/>
        <v>43191</v>
      </c>
      <c r="C925">
        <v>3.5034000000000001</v>
      </c>
    </row>
    <row r="926" spans="1:3" x14ac:dyDescent="0.35">
      <c r="A926" s="12">
        <v>43214</v>
      </c>
      <c r="B926" s="12">
        <f t="shared" si="14"/>
        <v>43191</v>
      </c>
      <c r="C926">
        <v>3.4661</v>
      </c>
    </row>
    <row r="927" spans="1:3" x14ac:dyDescent="0.35">
      <c r="A927" s="12">
        <v>43213</v>
      </c>
      <c r="B927" s="12">
        <f t="shared" si="14"/>
        <v>43191</v>
      </c>
      <c r="C927">
        <v>3.4415</v>
      </c>
    </row>
    <row r="928" spans="1:3" x14ac:dyDescent="0.35">
      <c r="A928" s="12">
        <v>43210</v>
      </c>
      <c r="B928" s="12">
        <f t="shared" si="14"/>
        <v>43191</v>
      </c>
      <c r="C928">
        <v>3.4096000000000002</v>
      </c>
    </row>
    <row r="929" spans="1:3" x14ac:dyDescent="0.35">
      <c r="A929" s="12">
        <v>43209</v>
      </c>
      <c r="B929" s="12">
        <f t="shared" si="14"/>
        <v>43191</v>
      </c>
      <c r="C929">
        <v>3.3971</v>
      </c>
    </row>
    <row r="930" spans="1:3" x14ac:dyDescent="0.35">
      <c r="A930" s="12">
        <v>43208</v>
      </c>
      <c r="B930" s="12">
        <f t="shared" si="14"/>
        <v>43191</v>
      </c>
      <c r="C930">
        <v>3.3837999999999999</v>
      </c>
    </row>
    <row r="931" spans="1:3" x14ac:dyDescent="0.35">
      <c r="A931" s="12">
        <v>43207</v>
      </c>
      <c r="B931" s="12">
        <f t="shared" si="14"/>
        <v>43191</v>
      </c>
      <c r="C931">
        <v>3.4035000000000002</v>
      </c>
    </row>
    <row r="932" spans="1:3" x14ac:dyDescent="0.35">
      <c r="A932" s="12">
        <v>43206</v>
      </c>
      <c r="B932" s="12">
        <f t="shared" si="14"/>
        <v>43191</v>
      </c>
      <c r="C932">
        <v>3.4257</v>
      </c>
    </row>
    <row r="933" spans="1:3" x14ac:dyDescent="0.35">
      <c r="A933" s="12">
        <v>43203</v>
      </c>
      <c r="B933" s="12">
        <f t="shared" si="14"/>
        <v>43191</v>
      </c>
      <c r="C933">
        <v>3.4098999999999999</v>
      </c>
    </row>
    <row r="934" spans="1:3" x14ac:dyDescent="0.35">
      <c r="A934" s="12">
        <v>43202</v>
      </c>
      <c r="B934" s="12">
        <f t="shared" si="14"/>
        <v>43191</v>
      </c>
      <c r="C934">
        <v>3.3852000000000002</v>
      </c>
    </row>
    <row r="935" spans="1:3" x14ac:dyDescent="0.35">
      <c r="A935" s="12">
        <v>43201</v>
      </c>
      <c r="B935" s="12">
        <f t="shared" si="14"/>
        <v>43191</v>
      </c>
      <c r="C935">
        <v>3.4045999999999998</v>
      </c>
    </row>
    <row r="936" spans="1:3" x14ac:dyDescent="0.35">
      <c r="A936" s="12">
        <v>43200</v>
      </c>
      <c r="B936" s="12">
        <f t="shared" si="14"/>
        <v>43191</v>
      </c>
      <c r="C936">
        <v>3.4188999999999998</v>
      </c>
    </row>
    <row r="937" spans="1:3" x14ac:dyDescent="0.35">
      <c r="A937" s="12">
        <v>43199</v>
      </c>
      <c r="B937" s="12">
        <f t="shared" si="14"/>
        <v>43191</v>
      </c>
      <c r="C937">
        <v>3.3896999999999999</v>
      </c>
    </row>
    <row r="938" spans="1:3" x14ac:dyDescent="0.35">
      <c r="A938" s="12">
        <v>43196</v>
      </c>
      <c r="B938" s="12">
        <f t="shared" si="14"/>
        <v>43191</v>
      </c>
      <c r="C938">
        <v>3.3660000000000001</v>
      </c>
    </row>
    <row r="939" spans="1:3" x14ac:dyDescent="0.35">
      <c r="A939" s="12">
        <v>43195</v>
      </c>
      <c r="B939" s="12">
        <f t="shared" si="14"/>
        <v>43191</v>
      </c>
      <c r="C939">
        <v>3.319</v>
      </c>
    </row>
    <row r="940" spans="1:3" x14ac:dyDescent="0.35">
      <c r="A940" s="12">
        <v>43194</v>
      </c>
      <c r="B940" s="12">
        <f t="shared" si="14"/>
        <v>43191</v>
      </c>
      <c r="C940">
        <v>3.3532000000000002</v>
      </c>
    </row>
    <row r="941" spans="1:3" x14ac:dyDescent="0.35">
      <c r="A941" s="12">
        <v>43193</v>
      </c>
      <c r="B941" s="12">
        <f t="shared" si="14"/>
        <v>43191</v>
      </c>
      <c r="C941">
        <v>3.3132999999999999</v>
      </c>
    </row>
    <row r="942" spans="1:3" x14ac:dyDescent="0.35">
      <c r="A942" s="12">
        <v>43192</v>
      </c>
      <c r="B942" s="12">
        <f t="shared" si="14"/>
        <v>43191</v>
      </c>
      <c r="C942">
        <v>3.3098000000000001</v>
      </c>
    </row>
    <row r="943" spans="1:3" x14ac:dyDescent="0.35">
      <c r="A943" s="12">
        <v>43188</v>
      </c>
      <c r="B943" s="12">
        <f t="shared" si="14"/>
        <v>43160</v>
      </c>
      <c r="C943">
        <v>3.3231999999999999</v>
      </c>
    </row>
    <row r="944" spans="1:3" x14ac:dyDescent="0.35">
      <c r="A944" s="12">
        <v>43187</v>
      </c>
      <c r="B944" s="12">
        <f t="shared" si="14"/>
        <v>43160</v>
      </c>
      <c r="C944">
        <v>3.3374000000000001</v>
      </c>
    </row>
    <row r="945" spans="1:3" x14ac:dyDescent="0.35">
      <c r="A945" s="12">
        <v>43186</v>
      </c>
      <c r="B945" s="12">
        <f t="shared" si="14"/>
        <v>43160</v>
      </c>
      <c r="C945">
        <v>3.3250000000000002</v>
      </c>
    </row>
    <row r="946" spans="1:3" x14ac:dyDescent="0.35">
      <c r="A946" s="12">
        <v>43185</v>
      </c>
      <c r="B946" s="12">
        <f t="shared" si="14"/>
        <v>43160</v>
      </c>
      <c r="C946">
        <v>3.3028</v>
      </c>
    </row>
    <row r="947" spans="1:3" x14ac:dyDescent="0.35">
      <c r="A947" s="12">
        <v>43182</v>
      </c>
      <c r="B947" s="12">
        <f t="shared" si="14"/>
        <v>43160</v>
      </c>
      <c r="C947">
        <v>3.3035000000000001</v>
      </c>
    </row>
    <row r="948" spans="1:3" x14ac:dyDescent="0.35">
      <c r="A948" s="12">
        <v>43181</v>
      </c>
      <c r="B948" s="12">
        <f t="shared" si="14"/>
        <v>43160</v>
      </c>
      <c r="C948">
        <v>3.3027000000000002</v>
      </c>
    </row>
    <row r="949" spans="1:3" x14ac:dyDescent="0.35">
      <c r="A949" s="12">
        <v>43180</v>
      </c>
      <c r="B949" s="12">
        <f t="shared" si="14"/>
        <v>43160</v>
      </c>
      <c r="C949">
        <v>3.2915000000000001</v>
      </c>
    </row>
    <row r="950" spans="1:3" x14ac:dyDescent="0.35">
      <c r="A950" s="12">
        <v>43179</v>
      </c>
      <c r="B950" s="12">
        <f t="shared" si="14"/>
        <v>43160</v>
      </c>
      <c r="C950">
        <v>3.2974999999999999</v>
      </c>
    </row>
    <row r="951" spans="1:3" x14ac:dyDescent="0.35">
      <c r="A951" s="12">
        <v>43178</v>
      </c>
      <c r="B951" s="12">
        <f t="shared" si="14"/>
        <v>43160</v>
      </c>
      <c r="C951">
        <v>3.2905000000000002</v>
      </c>
    </row>
    <row r="952" spans="1:3" x14ac:dyDescent="0.35">
      <c r="A952" s="12">
        <v>43175</v>
      </c>
      <c r="B952" s="12">
        <f t="shared" si="14"/>
        <v>43160</v>
      </c>
      <c r="C952">
        <v>3.2898999999999998</v>
      </c>
    </row>
    <row r="953" spans="1:3" x14ac:dyDescent="0.35">
      <c r="A953" s="12">
        <v>43174</v>
      </c>
      <c r="B953" s="12">
        <f t="shared" si="14"/>
        <v>43160</v>
      </c>
      <c r="C953">
        <v>3.2852999999999999</v>
      </c>
    </row>
    <row r="954" spans="1:3" x14ac:dyDescent="0.35">
      <c r="A954" s="12">
        <v>43173</v>
      </c>
      <c r="B954" s="12">
        <f t="shared" si="14"/>
        <v>43160</v>
      </c>
      <c r="C954">
        <v>3.2578</v>
      </c>
    </row>
    <row r="955" spans="1:3" x14ac:dyDescent="0.35">
      <c r="A955" s="12">
        <v>43172</v>
      </c>
      <c r="B955" s="12">
        <f t="shared" si="14"/>
        <v>43160</v>
      </c>
      <c r="C955">
        <v>3.2486000000000002</v>
      </c>
    </row>
    <row r="956" spans="1:3" x14ac:dyDescent="0.35">
      <c r="A956" s="12">
        <v>43171</v>
      </c>
      <c r="B956" s="12">
        <f t="shared" si="14"/>
        <v>43160</v>
      </c>
      <c r="C956">
        <v>3.26</v>
      </c>
    </row>
    <row r="957" spans="1:3" x14ac:dyDescent="0.35">
      <c r="A957" s="12">
        <v>43168</v>
      </c>
      <c r="B957" s="12">
        <f t="shared" si="14"/>
        <v>43160</v>
      </c>
      <c r="C957">
        <v>3.2490000000000001</v>
      </c>
    </row>
    <row r="958" spans="1:3" x14ac:dyDescent="0.35">
      <c r="A958" s="12">
        <v>43167</v>
      </c>
      <c r="B958" s="12">
        <f t="shared" si="14"/>
        <v>43160</v>
      </c>
      <c r="C958">
        <v>3.2511999999999999</v>
      </c>
    </row>
    <row r="959" spans="1:3" x14ac:dyDescent="0.35">
      <c r="A959" s="12">
        <v>43166</v>
      </c>
      <c r="B959" s="12">
        <f t="shared" si="14"/>
        <v>43160</v>
      </c>
      <c r="C959">
        <v>3.2311999999999999</v>
      </c>
    </row>
    <row r="960" spans="1:3" x14ac:dyDescent="0.35">
      <c r="A960" s="12">
        <v>43165</v>
      </c>
      <c r="B960" s="12">
        <f t="shared" si="14"/>
        <v>43160</v>
      </c>
      <c r="C960">
        <v>3.2240000000000002</v>
      </c>
    </row>
    <row r="961" spans="1:3" x14ac:dyDescent="0.35">
      <c r="A961" s="12">
        <v>43164</v>
      </c>
      <c r="B961" s="12">
        <f t="shared" si="14"/>
        <v>43160</v>
      </c>
      <c r="C961">
        <v>3.2576000000000001</v>
      </c>
    </row>
    <row r="962" spans="1:3" x14ac:dyDescent="0.35">
      <c r="A962" s="12">
        <v>43161</v>
      </c>
      <c r="B962" s="12">
        <f t="shared" si="14"/>
        <v>43160</v>
      </c>
      <c r="C962">
        <v>3.2608000000000001</v>
      </c>
    </row>
    <row r="963" spans="1:3" x14ac:dyDescent="0.35">
      <c r="A963" s="12">
        <v>43160</v>
      </c>
      <c r="B963" s="12">
        <f t="shared" ref="B963:B1026" si="15">DATE(YEAR(A963),MONTH(A963),DAY(1))</f>
        <v>43160</v>
      </c>
      <c r="C963">
        <v>3.2614000000000001</v>
      </c>
    </row>
    <row r="964" spans="1:3" x14ac:dyDescent="0.35">
      <c r="A964" s="12">
        <v>43159</v>
      </c>
      <c r="B964" s="12">
        <f t="shared" si="15"/>
        <v>43132</v>
      </c>
      <c r="C964">
        <v>3.2443</v>
      </c>
    </row>
    <row r="965" spans="1:3" x14ac:dyDescent="0.35">
      <c r="A965" s="12">
        <v>43158</v>
      </c>
      <c r="B965" s="12">
        <f t="shared" si="15"/>
        <v>43132</v>
      </c>
      <c r="C965">
        <v>3.2376999999999998</v>
      </c>
    </row>
    <row r="966" spans="1:3" x14ac:dyDescent="0.35">
      <c r="A966" s="12">
        <v>43157</v>
      </c>
      <c r="B966" s="12">
        <f t="shared" si="15"/>
        <v>43132</v>
      </c>
      <c r="C966">
        <v>3.2345000000000002</v>
      </c>
    </row>
    <row r="967" spans="1:3" x14ac:dyDescent="0.35">
      <c r="A967" s="12">
        <v>43154</v>
      </c>
      <c r="B967" s="12">
        <f t="shared" si="15"/>
        <v>43132</v>
      </c>
      <c r="C967">
        <v>3.2410999999999999</v>
      </c>
    </row>
    <row r="968" spans="1:3" x14ac:dyDescent="0.35">
      <c r="A968" s="12">
        <v>43153</v>
      </c>
      <c r="B968" s="12">
        <f t="shared" si="15"/>
        <v>43132</v>
      </c>
      <c r="C968">
        <v>3.2591999999999999</v>
      </c>
    </row>
    <row r="969" spans="1:3" x14ac:dyDescent="0.35">
      <c r="A969" s="12">
        <v>43152</v>
      </c>
      <c r="B969" s="12">
        <f t="shared" si="15"/>
        <v>43132</v>
      </c>
      <c r="C969">
        <v>3.2549000000000001</v>
      </c>
    </row>
    <row r="970" spans="1:3" x14ac:dyDescent="0.35">
      <c r="A970" s="12">
        <v>43151</v>
      </c>
      <c r="B970" s="12">
        <f t="shared" si="15"/>
        <v>43132</v>
      </c>
      <c r="C970">
        <v>3.2501000000000002</v>
      </c>
    </row>
    <row r="971" spans="1:3" x14ac:dyDescent="0.35">
      <c r="A971" s="12">
        <v>43150</v>
      </c>
      <c r="B971" s="12">
        <f t="shared" si="15"/>
        <v>43132</v>
      </c>
      <c r="C971">
        <v>3.2341000000000002</v>
      </c>
    </row>
    <row r="972" spans="1:3" x14ac:dyDescent="0.35">
      <c r="A972" s="12">
        <v>43147</v>
      </c>
      <c r="B972" s="12">
        <f t="shared" si="15"/>
        <v>43132</v>
      </c>
      <c r="C972">
        <v>3.2374999999999998</v>
      </c>
    </row>
    <row r="973" spans="1:3" x14ac:dyDescent="0.35">
      <c r="A973" s="12">
        <v>43146</v>
      </c>
      <c r="B973" s="12">
        <f t="shared" si="15"/>
        <v>43132</v>
      </c>
      <c r="C973">
        <v>3.2202000000000002</v>
      </c>
    </row>
    <row r="974" spans="1:3" x14ac:dyDescent="0.35">
      <c r="A974" s="12">
        <v>43145</v>
      </c>
      <c r="B974" s="12">
        <f t="shared" si="15"/>
        <v>43132</v>
      </c>
      <c r="C974">
        <v>3.2530999999999999</v>
      </c>
    </row>
    <row r="975" spans="1:3" x14ac:dyDescent="0.35">
      <c r="A975" s="12">
        <v>43140</v>
      </c>
      <c r="B975" s="12">
        <f t="shared" si="15"/>
        <v>43132</v>
      </c>
      <c r="C975">
        <v>3.2814999999999999</v>
      </c>
    </row>
    <row r="976" spans="1:3" x14ac:dyDescent="0.35">
      <c r="A976" s="12">
        <v>43139</v>
      </c>
      <c r="B976" s="12">
        <f t="shared" si="15"/>
        <v>43132</v>
      </c>
      <c r="C976">
        <v>3.2686000000000002</v>
      </c>
    </row>
    <row r="977" spans="1:3" x14ac:dyDescent="0.35">
      <c r="A977" s="12">
        <v>43138</v>
      </c>
      <c r="B977" s="12">
        <f t="shared" si="15"/>
        <v>43132</v>
      </c>
      <c r="C977">
        <v>3.2461000000000002</v>
      </c>
    </row>
    <row r="978" spans="1:3" x14ac:dyDescent="0.35">
      <c r="A978" s="12">
        <v>43137</v>
      </c>
      <c r="B978" s="12">
        <f t="shared" si="15"/>
        <v>43132</v>
      </c>
      <c r="C978">
        <v>3.2606999999999999</v>
      </c>
    </row>
    <row r="979" spans="1:3" x14ac:dyDescent="0.35">
      <c r="A979" s="12">
        <v>43136</v>
      </c>
      <c r="B979" s="12">
        <f t="shared" si="15"/>
        <v>43132</v>
      </c>
      <c r="C979">
        <v>3.2349000000000001</v>
      </c>
    </row>
    <row r="980" spans="1:3" x14ac:dyDescent="0.35">
      <c r="A980" s="12">
        <v>43133</v>
      </c>
      <c r="B980" s="12">
        <f t="shared" si="15"/>
        <v>43132</v>
      </c>
      <c r="C980">
        <v>3.2054</v>
      </c>
    </row>
    <row r="981" spans="1:3" x14ac:dyDescent="0.35">
      <c r="A981" s="12">
        <v>43132</v>
      </c>
      <c r="B981" s="12">
        <f t="shared" si="15"/>
        <v>43132</v>
      </c>
      <c r="C981">
        <v>3.1724000000000001</v>
      </c>
    </row>
    <row r="982" spans="1:3" x14ac:dyDescent="0.35">
      <c r="A982" s="12">
        <v>43131</v>
      </c>
      <c r="B982" s="12">
        <f t="shared" si="15"/>
        <v>43101</v>
      </c>
      <c r="C982">
        <v>3.1617999999999999</v>
      </c>
    </row>
    <row r="983" spans="1:3" x14ac:dyDescent="0.35">
      <c r="A983" s="12">
        <v>43130</v>
      </c>
      <c r="B983" s="12">
        <f t="shared" si="15"/>
        <v>43101</v>
      </c>
      <c r="C983">
        <v>3.1655000000000002</v>
      </c>
    </row>
    <row r="984" spans="1:3" x14ac:dyDescent="0.35">
      <c r="A984" s="12">
        <v>43129</v>
      </c>
      <c r="B984" s="12">
        <f t="shared" si="15"/>
        <v>43101</v>
      </c>
      <c r="C984">
        <v>3.1648000000000001</v>
      </c>
    </row>
    <row r="985" spans="1:3" x14ac:dyDescent="0.35">
      <c r="A985" s="12">
        <v>43126</v>
      </c>
      <c r="B985" s="12">
        <f t="shared" si="15"/>
        <v>43101</v>
      </c>
      <c r="C985">
        <v>3.1444000000000001</v>
      </c>
    </row>
    <row r="986" spans="1:3" x14ac:dyDescent="0.35">
      <c r="A986" s="12">
        <v>43125</v>
      </c>
      <c r="B986" s="12">
        <f t="shared" si="15"/>
        <v>43101</v>
      </c>
      <c r="C986">
        <v>3.1379999999999999</v>
      </c>
    </row>
    <row r="987" spans="1:3" x14ac:dyDescent="0.35">
      <c r="A987" s="12">
        <v>43124</v>
      </c>
      <c r="B987" s="12">
        <f t="shared" si="15"/>
        <v>43101</v>
      </c>
      <c r="C987">
        <v>3.1964000000000001</v>
      </c>
    </row>
    <row r="988" spans="1:3" x14ac:dyDescent="0.35">
      <c r="A988" s="12">
        <v>43123</v>
      </c>
      <c r="B988" s="12">
        <f t="shared" si="15"/>
        <v>43101</v>
      </c>
      <c r="C988">
        <v>3.2242999999999999</v>
      </c>
    </row>
    <row r="989" spans="1:3" x14ac:dyDescent="0.35">
      <c r="A989" s="12">
        <v>43122</v>
      </c>
      <c r="B989" s="12">
        <f t="shared" si="15"/>
        <v>43101</v>
      </c>
      <c r="C989">
        <v>3.1928000000000001</v>
      </c>
    </row>
    <row r="990" spans="1:3" x14ac:dyDescent="0.35">
      <c r="A990" s="12">
        <v>43119</v>
      </c>
      <c r="B990" s="12">
        <f t="shared" si="15"/>
        <v>43101</v>
      </c>
      <c r="C990">
        <v>3.2081</v>
      </c>
    </row>
    <row r="991" spans="1:3" x14ac:dyDescent="0.35">
      <c r="A991" s="12">
        <v>43118</v>
      </c>
      <c r="B991" s="12">
        <f t="shared" si="15"/>
        <v>43101</v>
      </c>
      <c r="C991">
        <v>3.2122999999999999</v>
      </c>
    </row>
    <row r="992" spans="1:3" x14ac:dyDescent="0.35">
      <c r="A992" s="12">
        <v>43117</v>
      </c>
      <c r="B992" s="12">
        <f t="shared" si="15"/>
        <v>43101</v>
      </c>
      <c r="C992">
        <v>3.2317999999999998</v>
      </c>
    </row>
    <row r="993" spans="1:3" x14ac:dyDescent="0.35">
      <c r="A993" s="12">
        <v>43116</v>
      </c>
      <c r="B993" s="12">
        <f t="shared" si="15"/>
        <v>43101</v>
      </c>
      <c r="C993">
        <v>3.2212999999999998</v>
      </c>
    </row>
    <row r="994" spans="1:3" x14ac:dyDescent="0.35">
      <c r="A994" s="12">
        <v>43115</v>
      </c>
      <c r="B994" s="12">
        <f t="shared" si="15"/>
        <v>43101</v>
      </c>
      <c r="C994">
        <v>3.1957</v>
      </c>
    </row>
    <row r="995" spans="1:3" x14ac:dyDescent="0.35">
      <c r="A995" s="12">
        <v>43112</v>
      </c>
      <c r="B995" s="12">
        <f t="shared" si="15"/>
        <v>43101</v>
      </c>
      <c r="C995">
        <v>3.2191999999999998</v>
      </c>
    </row>
    <row r="996" spans="1:3" x14ac:dyDescent="0.35">
      <c r="A996" s="12">
        <v>43111</v>
      </c>
      <c r="B996" s="12">
        <f t="shared" si="15"/>
        <v>43101</v>
      </c>
      <c r="C996">
        <v>3.2294999999999998</v>
      </c>
    </row>
    <row r="997" spans="1:3" x14ac:dyDescent="0.35">
      <c r="A997" s="12">
        <v>43110</v>
      </c>
      <c r="B997" s="12">
        <f t="shared" si="15"/>
        <v>43101</v>
      </c>
      <c r="C997">
        <v>3.2461000000000002</v>
      </c>
    </row>
    <row r="998" spans="1:3" x14ac:dyDescent="0.35">
      <c r="A998" s="12">
        <v>43109</v>
      </c>
      <c r="B998" s="12">
        <f t="shared" si="15"/>
        <v>43101</v>
      </c>
      <c r="C998">
        <v>3.2391000000000001</v>
      </c>
    </row>
    <row r="999" spans="1:3" x14ac:dyDescent="0.35">
      <c r="A999" s="12">
        <v>43108</v>
      </c>
      <c r="B999" s="12">
        <f t="shared" si="15"/>
        <v>43101</v>
      </c>
      <c r="C999">
        <v>3.2351000000000001</v>
      </c>
    </row>
    <row r="1000" spans="1:3" x14ac:dyDescent="0.35">
      <c r="A1000" s="12">
        <v>43105</v>
      </c>
      <c r="B1000" s="12">
        <f t="shared" si="15"/>
        <v>43101</v>
      </c>
      <c r="C1000">
        <v>3.2403</v>
      </c>
    </row>
    <row r="1001" spans="1:3" x14ac:dyDescent="0.35">
      <c r="A1001" s="12">
        <v>43104</v>
      </c>
      <c r="B1001" s="12">
        <f t="shared" si="15"/>
        <v>43101</v>
      </c>
      <c r="C1001">
        <v>3.2311999999999999</v>
      </c>
    </row>
    <row r="1002" spans="1:3" x14ac:dyDescent="0.35">
      <c r="A1002" s="12">
        <v>43103</v>
      </c>
      <c r="B1002" s="12">
        <f t="shared" si="15"/>
        <v>43101</v>
      </c>
      <c r="C1002">
        <v>3.2528999999999999</v>
      </c>
    </row>
    <row r="1003" spans="1:3" x14ac:dyDescent="0.35">
      <c r="A1003" s="12">
        <v>43102</v>
      </c>
      <c r="B1003" s="12">
        <f t="shared" si="15"/>
        <v>43101</v>
      </c>
      <c r="C1003">
        <v>3.2690999999999999</v>
      </c>
    </row>
    <row r="1004" spans="1:3" x14ac:dyDescent="0.35">
      <c r="A1004" s="12">
        <v>43098</v>
      </c>
      <c r="B1004" s="12">
        <f t="shared" si="15"/>
        <v>43070</v>
      </c>
      <c r="C1004">
        <v>3.3073999999999999</v>
      </c>
    </row>
    <row r="1005" spans="1:3" x14ac:dyDescent="0.35">
      <c r="A1005" s="12">
        <v>43097</v>
      </c>
      <c r="B1005" s="12">
        <f t="shared" si="15"/>
        <v>43070</v>
      </c>
      <c r="C1005">
        <v>3.3073999999999999</v>
      </c>
    </row>
    <row r="1006" spans="1:3" x14ac:dyDescent="0.35">
      <c r="A1006" s="12">
        <v>43096</v>
      </c>
      <c r="B1006" s="12">
        <f t="shared" si="15"/>
        <v>43070</v>
      </c>
      <c r="C1006">
        <v>3.3024</v>
      </c>
    </row>
    <row r="1007" spans="1:3" x14ac:dyDescent="0.35">
      <c r="A1007" s="12">
        <v>43095</v>
      </c>
      <c r="B1007" s="12">
        <f t="shared" si="15"/>
        <v>43070</v>
      </c>
      <c r="C1007">
        <v>3.3193999999999999</v>
      </c>
    </row>
    <row r="1008" spans="1:3" x14ac:dyDescent="0.35">
      <c r="A1008" s="12">
        <v>43091</v>
      </c>
      <c r="B1008" s="12">
        <f t="shared" si="15"/>
        <v>43070</v>
      </c>
      <c r="C1008">
        <v>3.3203</v>
      </c>
    </row>
    <row r="1009" spans="1:3" x14ac:dyDescent="0.35">
      <c r="A1009" s="12">
        <v>43090</v>
      </c>
      <c r="B1009" s="12">
        <f t="shared" si="15"/>
        <v>43070</v>
      </c>
      <c r="C1009">
        <v>3.3039000000000001</v>
      </c>
    </row>
    <row r="1010" spans="1:3" x14ac:dyDescent="0.35">
      <c r="A1010" s="12">
        <v>43089</v>
      </c>
      <c r="B1010" s="12">
        <f t="shared" si="15"/>
        <v>43070</v>
      </c>
      <c r="C1010">
        <v>3.2902999999999998</v>
      </c>
    </row>
    <row r="1011" spans="1:3" x14ac:dyDescent="0.35">
      <c r="A1011" s="12">
        <v>43088</v>
      </c>
      <c r="B1011" s="12">
        <f t="shared" si="15"/>
        <v>43070</v>
      </c>
      <c r="C1011">
        <v>3.2877000000000001</v>
      </c>
    </row>
    <row r="1012" spans="1:3" x14ac:dyDescent="0.35">
      <c r="A1012" s="12">
        <v>43087</v>
      </c>
      <c r="B1012" s="12">
        <f t="shared" si="15"/>
        <v>43070</v>
      </c>
      <c r="C1012">
        <v>3.2875000000000001</v>
      </c>
    </row>
    <row r="1013" spans="1:3" x14ac:dyDescent="0.35">
      <c r="A1013" s="12">
        <v>43084</v>
      </c>
      <c r="B1013" s="12">
        <f t="shared" si="15"/>
        <v>43070</v>
      </c>
      <c r="C1013">
        <v>3.3176000000000001</v>
      </c>
    </row>
    <row r="1014" spans="1:3" x14ac:dyDescent="0.35">
      <c r="A1014" s="12">
        <v>43083</v>
      </c>
      <c r="B1014" s="12">
        <f t="shared" si="15"/>
        <v>43070</v>
      </c>
      <c r="C1014">
        <v>3.3325999999999998</v>
      </c>
    </row>
    <row r="1015" spans="1:3" x14ac:dyDescent="0.35">
      <c r="A1015" s="12">
        <v>43082</v>
      </c>
      <c r="B1015" s="12">
        <f t="shared" si="15"/>
        <v>43070</v>
      </c>
      <c r="C1015">
        <v>3.3029999999999999</v>
      </c>
    </row>
    <row r="1016" spans="1:3" x14ac:dyDescent="0.35">
      <c r="A1016" s="12">
        <v>43081</v>
      </c>
      <c r="B1016" s="12">
        <f t="shared" si="15"/>
        <v>43070</v>
      </c>
      <c r="C1016">
        <v>3.3142999999999998</v>
      </c>
    </row>
    <row r="1017" spans="1:3" x14ac:dyDescent="0.35">
      <c r="A1017" s="12">
        <v>43080</v>
      </c>
      <c r="B1017" s="12">
        <f t="shared" si="15"/>
        <v>43070</v>
      </c>
      <c r="C1017">
        <v>3.2839</v>
      </c>
    </row>
    <row r="1018" spans="1:3" x14ac:dyDescent="0.35">
      <c r="A1018" s="12">
        <v>43077</v>
      </c>
      <c r="B1018" s="12">
        <f t="shared" si="15"/>
        <v>43070</v>
      </c>
      <c r="C1018">
        <v>3.2805</v>
      </c>
    </row>
    <row r="1019" spans="1:3" x14ac:dyDescent="0.35">
      <c r="A1019" s="12">
        <v>43076</v>
      </c>
      <c r="B1019" s="12">
        <f t="shared" si="15"/>
        <v>43070</v>
      </c>
      <c r="C1019">
        <v>3.2886000000000002</v>
      </c>
    </row>
    <row r="1020" spans="1:3" x14ac:dyDescent="0.35">
      <c r="A1020" s="12">
        <v>43075</v>
      </c>
      <c r="B1020" s="12">
        <f t="shared" si="15"/>
        <v>43070</v>
      </c>
      <c r="C1020">
        <v>3.2347999999999999</v>
      </c>
    </row>
    <row r="1021" spans="1:3" x14ac:dyDescent="0.35">
      <c r="A1021" s="12">
        <v>43074</v>
      </c>
      <c r="B1021" s="12">
        <f t="shared" si="15"/>
        <v>43070</v>
      </c>
      <c r="C1021">
        <v>3.2315999999999998</v>
      </c>
    </row>
    <row r="1022" spans="1:3" x14ac:dyDescent="0.35">
      <c r="A1022" s="12">
        <v>43073</v>
      </c>
      <c r="B1022" s="12">
        <f t="shared" si="15"/>
        <v>43070</v>
      </c>
      <c r="C1022">
        <v>3.25</v>
      </c>
    </row>
    <row r="1023" spans="1:3" x14ac:dyDescent="0.35">
      <c r="A1023" s="12">
        <v>43070</v>
      </c>
      <c r="B1023" s="12">
        <f t="shared" si="15"/>
        <v>43070</v>
      </c>
      <c r="C1023">
        <v>3.2629999999999999</v>
      </c>
    </row>
    <row r="1024" spans="1:3" x14ac:dyDescent="0.35">
      <c r="A1024" s="12">
        <v>43069</v>
      </c>
      <c r="B1024" s="12">
        <f t="shared" si="15"/>
        <v>43040</v>
      </c>
      <c r="C1024">
        <v>3.2610000000000001</v>
      </c>
    </row>
    <row r="1025" spans="1:3" x14ac:dyDescent="0.35">
      <c r="A1025" s="12">
        <v>43068</v>
      </c>
      <c r="B1025" s="12">
        <f t="shared" si="15"/>
        <v>43040</v>
      </c>
      <c r="C1025">
        <v>3.2130000000000001</v>
      </c>
    </row>
    <row r="1026" spans="1:3" x14ac:dyDescent="0.35">
      <c r="A1026" s="12">
        <v>43067</v>
      </c>
      <c r="B1026" s="12">
        <f t="shared" si="15"/>
        <v>43040</v>
      </c>
      <c r="C1026">
        <v>3.2225999999999999</v>
      </c>
    </row>
    <row r="1027" spans="1:3" x14ac:dyDescent="0.35">
      <c r="A1027" s="12">
        <v>43066</v>
      </c>
      <c r="B1027" s="12">
        <f t="shared" ref="B1027:B1090" si="16">DATE(YEAR(A1027),MONTH(A1027),DAY(1))</f>
        <v>43040</v>
      </c>
      <c r="C1027">
        <v>3.2212000000000001</v>
      </c>
    </row>
    <row r="1028" spans="1:3" x14ac:dyDescent="0.35">
      <c r="A1028" s="12">
        <v>43063</v>
      </c>
      <c r="B1028" s="12">
        <f t="shared" si="16"/>
        <v>43040</v>
      </c>
      <c r="C1028">
        <v>3.2294</v>
      </c>
    </row>
    <row r="1029" spans="1:3" x14ac:dyDescent="0.35">
      <c r="A1029" s="12">
        <v>43062</v>
      </c>
      <c r="B1029" s="12">
        <f t="shared" si="16"/>
        <v>43040</v>
      </c>
      <c r="C1029">
        <v>3.2364999999999999</v>
      </c>
    </row>
    <row r="1030" spans="1:3" x14ac:dyDescent="0.35">
      <c r="A1030" s="12">
        <v>43061</v>
      </c>
      <c r="B1030" s="12">
        <f t="shared" si="16"/>
        <v>43040</v>
      </c>
      <c r="C1030">
        <v>3.2555000000000001</v>
      </c>
    </row>
    <row r="1031" spans="1:3" x14ac:dyDescent="0.35">
      <c r="A1031" s="12">
        <v>43060</v>
      </c>
      <c r="B1031" s="12">
        <f t="shared" si="16"/>
        <v>43040</v>
      </c>
      <c r="C1031">
        <v>3.2585000000000002</v>
      </c>
    </row>
    <row r="1032" spans="1:3" x14ac:dyDescent="0.35">
      <c r="A1032" s="12">
        <v>43059</v>
      </c>
      <c r="B1032" s="12">
        <f t="shared" si="16"/>
        <v>43040</v>
      </c>
      <c r="C1032">
        <v>3.2608000000000001</v>
      </c>
    </row>
    <row r="1033" spans="1:3" x14ac:dyDescent="0.35">
      <c r="A1033" s="12">
        <v>43056</v>
      </c>
      <c r="B1033" s="12">
        <f t="shared" si="16"/>
        <v>43040</v>
      </c>
      <c r="C1033">
        <v>3.2782</v>
      </c>
    </row>
    <row r="1034" spans="1:3" x14ac:dyDescent="0.35">
      <c r="A1034" s="12">
        <v>43055</v>
      </c>
      <c r="B1034" s="12">
        <f t="shared" si="16"/>
        <v>43040</v>
      </c>
      <c r="C1034">
        <v>3.2801999999999998</v>
      </c>
    </row>
    <row r="1035" spans="1:3" x14ac:dyDescent="0.35">
      <c r="A1035" s="12">
        <v>43053</v>
      </c>
      <c r="B1035" s="12">
        <f t="shared" si="16"/>
        <v>43040</v>
      </c>
      <c r="C1035">
        <v>3.2827999999999999</v>
      </c>
    </row>
    <row r="1036" spans="1:3" x14ac:dyDescent="0.35">
      <c r="A1036" s="12">
        <v>43052</v>
      </c>
      <c r="B1036" s="12">
        <f t="shared" si="16"/>
        <v>43040</v>
      </c>
      <c r="C1036">
        <v>3.2867000000000002</v>
      </c>
    </row>
    <row r="1037" spans="1:3" x14ac:dyDescent="0.35">
      <c r="A1037" s="12">
        <v>43049</v>
      </c>
      <c r="B1037" s="12">
        <f t="shared" si="16"/>
        <v>43040</v>
      </c>
      <c r="C1037">
        <v>3.2654999999999998</v>
      </c>
    </row>
    <row r="1038" spans="1:3" x14ac:dyDescent="0.35">
      <c r="A1038" s="12">
        <v>43048</v>
      </c>
      <c r="B1038" s="12">
        <f t="shared" si="16"/>
        <v>43040</v>
      </c>
      <c r="C1038">
        <v>3.2509000000000001</v>
      </c>
    </row>
    <row r="1039" spans="1:3" x14ac:dyDescent="0.35">
      <c r="A1039" s="12">
        <v>43047</v>
      </c>
      <c r="B1039" s="12">
        <f t="shared" si="16"/>
        <v>43040</v>
      </c>
      <c r="C1039">
        <v>3.2503000000000002</v>
      </c>
    </row>
    <row r="1040" spans="1:3" x14ac:dyDescent="0.35">
      <c r="A1040" s="12">
        <v>43046</v>
      </c>
      <c r="B1040" s="12">
        <f t="shared" si="16"/>
        <v>43040</v>
      </c>
      <c r="C1040">
        <v>3.2726999999999999</v>
      </c>
    </row>
    <row r="1041" spans="1:3" x14ac:dyDescent="0.35">
      <c r="A1041" s="12">
        <v>43045</v>
      </c>
      <c r="B1041" s="12">
        <f t="shared" si="16"/>
        <v>43040</v>
      </c>
      <c r="C1041">
        <v>3.2845</v>
      </c>
    </row>
    <row r="1042" spans="1:3" x14ac:dyDescent="0.35">
      <c r="A1042" s="12">
        <v>43042</v>
      </c>
      <c r="B1042" s="12">
        <f t="shared" si="16"/>
        <v>43040</v>
      </c>
      <c r="C1042">
        <v>3.2913999999999999</v>
      </c>
    </row>
    <row r="1043" spans="1:3" x14ac:dyDescent="0.35">
      <c r="A1043" s="12">
        <v>43040</v>
      </c>
      <c r="B1043" s="12">
        <f t="shared" si="16"/>
        <v>43040</v>
      </c>
      <c r="C1043">
        <v>3.2730000000000001</v>
      </c>
    </row>
    <row r="1044" spans="1:3" x14ac:dyDescent="0.35">
      <c r="A1044" s="12">
        <v>43039</v>
      </c>
      <c r="B1044" s="12">
        <f t="shared" si="16"/>
        <v>43009</v>
      </c>
      <c r="C1044">
        <v>3.2763</v>
      </c>
    </row>
    <row r="1045" spans="1:3" x14ac:dyDescent="0.35">
      <c r="A1045" s="12">
        <v>43038</v>
      </c>
      <c r="B1045" s="12">
        <f t="shared" si="16"/>
        <v>43009</v>
      </c>
      <c r="C1045">
        <v>3.2541000000000002</v>
      </c>
    </row>
    <row r="1046" spans="1:3" x14ac:dyDescent="0.35">
      <c r="A1046" s="12">
        <v>43035</v>
      </c>
      <c r="B1046" s="12">
        <f t="shared" si="16"/>
        <v>43009</v>
      </c>
      <c r="C1046">
        <v>3.2795000000000001</v>
      </c>
    </row>
    <row r="1047" spans="1:3" x14ac:dyDescent="0.35">
      <c r="A1047" s="12">
        <v>43034</v>
      </c>
      <c r="B1047" s="12">
        <f t="shared" si="16"/>
        <v>43009</v>
      </c>
      <c r="C1047">
        <v>3.2437999999999998</v>
      </c>
    </row>
    <row r="1048" spans="1:3" x14ac:dyDescent="0.35">
      <c r="A1048" s="12">
        <v>43033</v>
      </c>
      <c r="B1048" s="12">
        <f t="shared" si="16"/>
        <v>43009</v>
      </c>
      <c r="C1048">
        <v>3.2381000000000002</v>
      </c>
    </row>
    <row r="1049" spans="1:3" x14ac:dyDescent="0.35">
      <c r="A1049" s="12">
        <v>43032</v>
      </c>
      <c r="B1049" s="12">
        <f t="shared" si="16"/>
        <v>43009</v>
      </c>
      <c r="C1049">
        <v>3.2464</v>
      </c>
    </row>
    <row r="1050" spans="1:3" x14ac:dyDescent="0.35">
      <c r="A1050" s="12">
        <v>43031</v>
      </c>
      <c r="B1050" s="12">
        <f t="shared" si="16"/>
        <v>43009</v>
      </c>
      <c r="C1050">
        <v>3.1997</v>
      </c>
    </row>
    <row r="1051" spans="1:3" x14ac:dyDescent="0.35">
      <c r="A1051" s="12">
        <v>43028</v>
      </c>
      <c r="B1051" s="12">
        <f t="shared" si="16"/>
        <v>43009</v>
      </c>
      <c r="C1051">
        <v>3.1827000000000001</v>
      </c>
    </row>
    <row r="1052" spans="1:3" x14ac:dyDescent="0.35">
      <c r="A1052" s="12">
        <v>43027</v>
      </c>
      <c r="B1052" s="12">
        <f t="shared" si="16"/>
        <v>43009</v>
      </c>
      <c r="C1052">
        <v>3.1726999999999999</v>
      </c>
    </row>
    <row r="1053" spans="1:3" x14ac:dyDescent="0.35">
      <c r="A1053" s="12">
        <v>43026</v>
      </c>
      <c r="B1053" s="12">
        <f t="shared" si="16"/>
        <v>43009</v>
      </c>
      <c r="C1053">
        <v>3.1667000000000001</v>
      </c>
    </row>
    <row r="1054" spans="1:3" x14ac:dyDescent="0.35">
      <c r="A1054" s="12">
        <v>43025</v>
      </c>
      <c r="B1054" s="12">
        <f t="shared" si="16"/>
        <v>43009</v>
      </c>
      <c r="C1054">
        <v>3.1762999999999999</v>
      </c>
    </row>
    <row r="1055" spans="1:3" x14ac:dyDescent="0.35">
      <c r="A1055" s="12">
        <v>43024</v>
      </c>
      <c r="B1055" s="12">
        <f t="shared" si="16"/>
        <v>43009</v>
      </c>
      <c r="C1055">
        <v>3.1600999999999999</v>
      </c>
    </row>
    <row r="1056" spans="1:3" x14ac:dyDescent="0.35">
      <c r="A1056" s="12">
        <v>43021</v>
      </c>
      <c r="B1056" s="12">
        <f t="shared" si="16"/>
        <v>43009</v>
      </c>
      <c r="C1056">
        <v>3.1566999999999998</v>
      </c>
    </row>
    <row r="1057" spans="1:3" x14ac:dyDescent="0.35">
      <c r="A1057" s="12">
        <v>43019</v>
      </c>
      <c r="B1057" s="12">
        <f t="shared" si="16"/>
        <v>43009</v>
      </c>
      <c r="C1057">
        <v>3.1633</v>
      </c>
    </row>
    <row r="1058" spans="1:3" x14ac:dyDescent="0.35">
      <c r="A1058" s="12">
        <v>43018</v>
      </c>
      <c r="B1058" s="12">
        <f t="shared" si="16"/>
        <v>43009</v>
      </c>
      <c r="C1058">
        <v>3.1682000000000001</v>
      </c>
    </row>
    <row r="1059" spans="1:3" x14ac:dyDescent="0.35">
      <c r="A1059" s="12">
        <v>43017</v>
      </c>
      <c r="B1059" s="12">
        <f t="shared" si="16"/>
        <v>43009</v>
      </c>
      <c r="C1059">
        <v>3.1764000000000001</v>
      </c>
    </row>
    <row r="1060" spans="1:3" x14ac:dyDescent="0.35">
      <c r="A1060" s="12">
        <v>43014</v>
      </c>
      <c r="B1060" s="12">
        <f t="shared" si="16"/>
        <v>43009</v>
      </c>
      <c r="C1060">
        <v>3.1642000000000001</v>
      </c>
    </row>
    <row r="1061" spans="1:3" x14ac:dyDescent="0.35">
      <c r="A1061" s="12">
        <v>43013</v>
      </c>
      <c r="B1061" s="12">
        <f t="shared" si="16"/>
        <v>43009</v>
      </c>
      <c r="C1061">
        <v>3.1341000000000001</v>
      </c>
    </row>
    <row r="1062" spans="1:3" x14ac:dyDescent="0.35">
      <c r="A1062" s="12">
        <v>43012</v>
      </c>
      <c r="B1062" s="12">
        <f t="shared" si="16"/>
        <v>43009</v>
      </c>
      <c r="C1062">
        <v>3.1309</v>
      </c>
    </row>
    <row r="1063" spans="1:3" x14ac:dyDescent="0.35">
      <c r="A1063" s="12">
        <v>43011</v>
      </c>
      <c r="B1063" s="12">
        <f t="shared" si="16"/>
        <v>43009</v>
      </c>
      <c r="C1063">
        <v>3.1496</v>
      </c>
    </row>
    <row r="1064" spans="1:3" x14ac:dyDescent="0.35">
      <c r="A1064" s="12">
        <v>43010</v>
      </c>
      <c r="B1064" s="12">
        <f t="shared" si="16"/>
        <v>43009</v>
      </c>
      <c r="C1064">
        <v>3.1636000000000002</v>
      </c>
    </row>
    <row r="1065" spans="1:3" x14ac:dyDescent="0.35">
      <c r="A1065" s="12">
        <v>43007</v>
      </c>
      <c r="B1065" s="12">
        <f t="shared" si="16"/>
        <v>42979</v>
      </c>
      <c r="C1065">
        <v>3.1674000000000002</v>
      </c>
    </row>
    <row r="1066" spans="1:3" x14ac:dyDescent="0.35">
      <c r="A1066" s="12">
        <v>43006</v>
      </c>
      <c r="B1066" s="12">
        <f t="shared" si="16"/>
        <v>42979</v>
      </c>
      <c r="C1066">
        <v>3.1865000000000001</v>
      </c>
    </row>
    <row r="1067" spans="1:3" x14ac:dyDescent="0.35">
      <c r="A1067" s="12">
        <v>43005</v>
      </c>
      <c r="B1067" s="12">
        <f t="shared" si="16"/>
        <v>42979</v>
      </c>
      <c r="C1067">
        <v>3.1926000000000001</v>
      </c>
    </row>
    <row r="1068" spans="1:3" x14ac:dyDescent="0.35">
      <c r="A1068" s="12">
        <v>43004</v>
      </c>
      <c r="B1068" s="12">
        <f t="shared" si="16"/>
        <v>42979</v>
      </c>
      <c r="C1068">
        <v>3.1667999999999998</v>
      </c>
    </row>
    <row r="1069" spans="1:3" x14ac:dyDescent="0.35">
      <c r="A1069" s="12">
        <v>43003</v>
      </c>
      <c r="B1069" s="12">
        <f t="shared" si="16"/>
        <v>42979</v>
      </c>
      <c r="C1069">
        <v>3.1406000000000001</v>
      </c>
    </row>
    <row r="1070" spans="1:3" x14ac:dyDescent="0.35">
      <c r="A1070" s="12">
        <v>43000</v>
      </c>
      <c r="B1070" s="12">
        <f t="shared" si="16"/>
        <v>42979</v>
      </c>
      <c r="C1070">
        <v>3.1278999999999999</v>
      </c>
    </row>
    <row r="1071" spans="1:3" x14ac:dyDescent="0.35">
      <c r="A1071" s="12">
        <v>42999</v>
      </c>
      <c r="B1071" s="12">
        <f t="shared" si="16"/>
        <v>42979</v>
      </c>
      <c r="C1071">
        <v>3.1341000000000001</v>
      </c>
    </row>
    <row r="1072" spans="1:3" x14ac:dyDescent="0.35">
      <c r="A1072" s="12">
        <v>42998</v>
      </c>
      <c r="B1072" s="12">
        <f t="shared" si="16"/>
        <v>42979</v>
      </c>
      <c r="C1072">
        <v>3.1274999999999999</v>
      </c>
    </row>
    <row r="1073" spans="1:3" x14ac:dyDescent="0.35">
      <c r="A1073" s="12">
        <v>42997</v>
      </c>
      <c r="B1073" s="12">
        <f t="shared" si="16"/>
        <v>42979</v>
      </c>
      <c r="C1073">
        <v>3.1316999999999999</v>
      </c>
    </row>
    <row r="1074" spans="1:3" x14ac:dyDescent="0.35">
      <c r="A1074" s="12">
        <v>42996</v>
      </c>
      <c r="B1074" s="12">
        <f t="shared" si="16"/>
        <v>42979</v>
      </c>
      <c r="C1074">
        <v>3.1233</v>
      </c>
    </row>
    <row r="1075" spans="1:3" x14ac:dyDescent="0.35">
      <c r="A1075" s="12">
        <v>42993</v>
      </c>
      <c r="B1075" s="12">
        <f t="shared" si="16"/>
        <v>42979</v>
      </c>
      <c r="C1075">
        <v>3.1248999999999998</v>
      </c>
    </row>
    <row r="1076" spans="1:3" x14ac:dyDescent="0.35">
      <c r="A1076" s="12">
        <v>42992</v>
      </c>
      <c r="B1076" s="12">
        <f t="shared" si="16"/>
        <v>42979</v>
      </c>
      <c r="C1076">
        <v>3.1347999999999998</v>
      </c>
    </row>
    <row r="1077" spans="1:3" x14ac:dyDescent="0.35">
      <c r="A1077" s="12">
        <v>42991</v>
      </c>
      <c r="B1077" s="12">
        <f t="shared" si="16"/>
        <v>42979</v>
      </c>
      <c r="C1077">
        <v>3.1337000000000002</v>
      </c>
    </row>
    <row r="1078" spans="1:3" x14ac:dyDescent="0.35">
      <c r="A1078" s="12">
        <v>42990</v>
      </c>
      <c r="B1078" s="12">
        <f t="shared" si="16"/>
        <v>42979</v>
      </c>
      <c r="C1078">
        <v>3.1137999999999999</v>
      </c>
    </row>
    <row r="1079" spans="1:3" x14ac:dyDescent="0.35">
      <c r="A1079" s="12">
        <v>42989</v>
      </c>
      <c r="B1079" s="12">
        <f t="shared" si="16"/>
        <v>42979</v>
      </c>
      <c r="C1079">
        <v>3.0846</v>
      </c>
    </row>
    <row r="1080" spans="1:3" x14ac:dyDescent="0.35">
      <c r="A1080" s="12">
        <v>42986</v>
      </c>
      <c r="B1080" s="12">
        <f t="shared" si="16"/>
        <v>42979</v>
      </c>
      <c r="C1080">
        <v>3.0901999999999998</v>
      </c>
    </row>
    <row r="1081" spans="1:3" x14ac:dyDescent="0.35">
      <c r="A1081" s="12">
        <v>42984</v>
      </c>
      <c r="B1081" s="12">
        <f t="shared" si="16"/>
        <v>42979</v>
      </c>
      <c r="C1081">
        <v>3.1126999999999998</v>
      </c>
    </row>
    <row r="1082" spans="1:3" x14ac:dyDescent="0.35">
      <c r="A1082" s="12">
        <v>42983</v>
      </c>
      <c r="B1082" s="12">
        <f t="shared" si="16"/>
        <v>42979</v>
      </c>
      <c r="C1082">
        <v>3.1196999999999999</v>
      </c>
    </row>
    <row r="1083" spans="1:3" x14ac:dyDescent="0.35">
      <c r="A1083" s="12">
        <v>42982</v>
      </c>
      <c r="B1083" s="12">
        <f t="shared" si="16"/>
        <v>42979</v>
      </c>
      <c r="C1083">
        <v>3.1383000000000001</v>
      </c>
    </row>
    <row r="1084" spans="1:3" x14ac:dyDescent="0.35">
      <c r="A1084" s="12">
        <v>42979</v>
      </c>
      <c r="B1084" s="12">
        <f t="shared" si="16"/>
        <v>42979</v>
      </c>
      <c r="C1084">
        <v>3.1326999999999998</v>
      </c>
    </row>
    <row r="1085" spans="1:3" x14ac:dyDescent="0.35">
      <c r="A1085" s="12">
        <v>42978</v>
      </c>
      <c r="B1085" s="12">
        <f t="shared" si="16"/>
        <v>42948</v>
      </c>
      <c r="C1085">
        <v>3.1465000000000001</v>
      </c>
    </row>
    <row r="1086" spans="1:3" x14ac:dyDescent="0.35">
      <c r="A1086" s="12">
        <v>42977</v>
      </c>
      <c r="B1086" s="12">
        <f t="shared" si="16"/>
        <v>42948</v>
      </c>
      <c r="C1086">
        <v>3.1631999999999998</v>
      </c>
    </row>
    <row r="1087" spans="1:3" x14ac:dyDescent="0.35">
      <c r="A1087" s="12">
        <v>42976</v>
      </c>
      <c r="B1087" s="12">
        <f t="shared" si="16"/>
        <v>42948</v>
      </c>
      <c r="C1087">
        <v>3.1688999999999998</v>
      </c>
    </row>
    <row r="1088" spans="1:3" x14ac:dyDescent="0.35">
      <c r="A1088" s="12">
        <v>42975</v>
      </c>
      <c r="B1088" s="12">
        <f t="shared" si="16"/>
        <v>42948</v>
      </c>
      <c r="C1088">
        <v>3.1556999999999999</v>
      </c>
    </row>
    <row r="1089" spans="1:3" x14ac:dyDescent="0.35">
      <c r="A1089" s="12">
        <v>42972</v>
      </c>
      <c r="B1089" s="12">
        <f t="shared" si="16"/>
        <v>42948</v>
      </c>
      <c r="C1089">
        <v>3.1456</v>
      </c>
    </row>
    <row r="1090" spans="1:3" x14ac:dyDescent="0.35">
      <c r="A1090" s="12">
        <v>42971</v>
      </c>
      <c r="B1090" s="12">
        <f t="shared" si="16"/>
        <v>42948</v>
      </c>
      <c r="C1090">
        <v>3.1398000000000001</v>
      </c>
    </row>
    <row r="1091" spans="1:3" x14ac:dyDescent="0.35">
      <c r="A1091" s="12">
        <v>42970</v>
      </c>
      <c r="B1091" s="12">
        <f t="shared" ref="B1091:B1154" si="17">DATE(YEAR(A1091),MONTH(A1091),DAY(1))</f>
        <v>42948</v>
      </c>
      <c r="C1091">
        <v>3.1562999999999999</v>
      </c>
    </row>
    <row r="1092" spans="1:3" x14ac:dyDescent="0.35">
      <c r="A1092" s="12">
        <v>42969</v>
      </c>
      <c r="B1092" s="12">
        <f t="shared" si="17"/>
        <v>42948</v>
      </c>
      <c r="C1092">
        <v>3.1533000000000002</v>
      </c>
    </row>
    <row r="1093" spans="1:3" x14ac:dyDescent="0.35">
      <c r="A1093" s="12">
        <v>42968</v>
      </c>
      <c r="B1093" s="12">
        <f t="shared" si="17"/>
        <v>42948</v>
      </c>
      <c r="C1093">
        <v>3.1436999999999999</v>
      </c>
    </row>
    <row r="1094" spans="1:3" x14ac:dyDescent="0.35">
      <c r="A1094" s="12">
        <v>42965</v>
      </c>
      <c r="B1094" s="12">
        <f t="shared" si="17"/>
        <v>42948</v>
      </c>
      <c r="C1094">
        <v>3.1648000000000001</v>
      </c>
    </row>
    <row r="1095" spans="1:3" x14ac:dyDescent="0.35">
      <c r="A1095" s="12">
        <v>42964</v>
      </c>
      <c r="B1095" s="12">
        <f t="shared" si="17"/>
        <v>42948</v>
      </c>
      <c r="C1095">
        <v>3.1597</v>
      </c>
    </row>
    <row r="1096" spans="1:3" x14ac:dyDescent="0.35">
      <c r="A1096" s="12">
        <v>42963</v>
      </c>
      <c r="B1096" s="12">
        <f t="shared" si="17"/>
        <v>42948</v>
      </c>
      <c r="C1096">
        <v>3.1663999999999999</v>
      </c>
    </row>
    <row r="1097" spans="1:3" x14ac:dyDescent="0.35">
      <c r="A1097" s="12">
        <v>42962</v>
      </c>
      <c r="B1097" s="12">
        <f t="shared" si="17"/>
        <v>42948</v>
      </c>
      <c r="C1097">
        <v>3.1970000000000001</v>
      </c>
    </row>
    <row r="1098" spans="1:3" x14ac:dyDescent="0.35">
      <c r="A1098" s="12">
        <v>42961</v>
      </c>
      <c r="B1098" s="12">
        <f t="shared" si="17"/>
        <v>42948</v>
      </c>
      <c r="C1098">
        <v>3.1882000000000001</v>
      </c>
    </row>
    <row r="1099" spans="1:3" x14ac:dyDescent="0.35">
      <c r="A1099" s="12">
        <v>42958</v>
      </c>
      <c r="B1099" s="12">
        <f t="shared" si="17"/>
        <v>42948</v>
      </c>
      <c r="C1099">
        <v>3.1688999999999998</v>
      </c>
    </row>
    <row r="1100" spans="1:3" x14ac:dyDescent="0.35">
      <c r="A1100" s="12">
        <v>42957</v>
      </c>
      <c r="B1100" s="12">
        <f t="shared" si="17"/>
        <v>42948</v>
      </c>
      <c r="C1100">
        <v>3.1537000000000002</v>
      </c>
    </row>
    <row r="1101" spans="1:3" x14ac:dyDescent="0.35">
      <c r="A1101" s="12">
        <v>42956</v>
      </c>
      <c r="B1101" s="12">
        <f t="shared" si="17"/>
        <v>42948</v>
      </c>
      <c r="C1101">
        <v>3.1457999999999999</v>
      </c>
    </row>
    <row r="1102" spans="1:3" x14ac:dyDescent="0.35">
      <c r="A1102" s="12">
        <v>42955</v>
      </c>
      <c r="B1102" s="12">
        <f t="shared" si="17"/>
        <v>42948</v>
      </c>
      <c r="C1102">
        <v>3.1314000000000002</v>
      </c>
    </row>
    <row r="1103" spans="1:3" x14ac:dyDescent="0.35">
      <c r="A1103" s="12">
        <v>42954</v>
      </c>
      <c r="B1103" s="12">
        <f t="shared" si="17"/>
        <v>42948</v>
      </c>
      <c r="C1103">
        <v>3.1261000000000001</v>
      </c>
    </row>
    <row r="1104" spans="1:3" x14ac:dyDescent="0.35">
      <c r="A1104" s="12">
        <v>42951</v>
      </c>
      <c r="B1104" s="12">
        <f t="shared" si="17"/>
        <v>42948</v>
      </c>
      <c r="C1104">
        <v>3.1217999999999999</v>
      </c>
    </row>
    <row r="1105" spans="1:3" x14ac:dyDescent="0.35">
      <c r="A1105" s="12">
        <v>42950</v>
      </c>
      <c r="B1105" s="12">
        <f t="shared" si="17"/>
        <v>42948</v>
      </c>
      <c r="C1105">
        <v>3.1187999999999998</v>
      </c>
    </row>
    <row r="1106" spans="1:3" x14ac:dyDescent="0.35">
      <c r="A1106" s="12">
        <v>42949</v>
      </c>
      <c r="B1106" s="12">
        <f t="shared" si="17"/>
        <v>42948</v>
      </c>
      <c r="C1106">
        <v>3.1261999999999999</v>
      </c>
    </row>
    <row r="1107" spans="1:3" x14ac:dyDescent="0.35">
      <c r="A1107" s="12">
        <v>42948</v>
      </c>
      <c r="B1107" s="12">
        <f t="shared" si="17"/>
        <v>42948</v>
      </c>
      <c r="C1107">
        <v>3.1154000000000002</v>
      </c>
    </row>
    <row r="1108" spans="1:3" x14ac:dyDescent="0.35">
      <c r="A1108" s="12">
        <v>42947</v>
      </c>
      <c r="B1108" s="12">
        <f t="shared" si="17"/>
        <v>42917</v>
      </c>
      <c r="C1108">
        <v>3.1301000000000001</v>
      </c>
    </row>
    <row r="1109" spans="1:3" x14ac:dyDescent="0.35">
      <c r="A1109" s="12">
        <v>42944</v>
      </c>
      <c r="B1109" s="12">
        <f t="shared" si="17"/>
        <v>42917</v>
      </c>
      <c r="C1109">
        <v>3.1450999999999998</v>
      </c>
    </row>
    <row r="1110" spans="1:3" x14ac:dyDescent="0.35">
      <c r="A1110" s="12">
        <v>42943</v>
      </c>
      <c r="B1110" s="12">
        <f t="shared" si="17"/>
        <v>42917</v>
      </c>
      <c r="C1110">
        <v>3.1507000000000001</v>
      </c>
    </row>
    <row r="1111" spans="1:3" x14ac:dyDescent="0.35">
      <c r="A1111" s="12">
        <v>42942</v>
      </c>
      <c r="B1111" s="12">
        <f t="shared" si="17"/>
        <v>42917</v>
      </c>
      <c r="C1111">
        <v>3.1650999999999998</v>
      </c>
    </row>
    <row r="1112" spans="1:3" x14ac:dyDescent="0.35">
      <c r="A1112" s="12">
        <v>42941</v>
      </c>
      <c r="B1112" s="12">
        <f t="shared" si="17"/>
        <v>42917</v>
      </c>
      <c r="C1112">
        <v>3.1549999999999998</v>
      </c>
    </row>
    <row r="1113" spans="1:3" x14ac:dyDescent="0.35">
      <c r="A1113" s="12">
        <v>42940</v>
      </c>
      <c r="B1113" s="12">
        <f t="shared" si="17"/>
        <v>42917</v>
      </c>
      <c r="C1113">
        <v>3.1453000000000002</v>
      </c>
    </row>
    <row r="1114" spans="1:3" x14ac:dyDescent="0.35">
      <c r="A1114" s="12">
        <v>42937</v>
      </c>
      <c r="B1114" s="12">
        <f t="shared" si="17"/>
        <v>42917</v>
      </c>
      <c r="C1114">
        <v>3.125</v>
      </c>
    </row>
    <row r="1115" spans="1:3" x14ac:dyDescent="0.35">
      <c r="A1115" s="12">
        <v>42936</v>
      </c>
      <c r="B1115" s="12">
        <f t="shared" si="17"/>
        <v>42917</v>
      </c>
      <c r="C1115">
        <v>3.1396000000000002</v>
      </c>
    </row>
    <row r="1116" spans="1:3" x14ac:dyDescent="0.35">
      <c r="A1116" s="12">
        <v>42935</v>
      </c>
      <c r="B1116" s="12">
        <f t="shared" si="17"/>
        <v>42917</v>
      </c>
      <c r="C1116">
        <v>3.1526999999999998</v>
      </c>
    </row>
    <row r="1117" spans="1:3" x14ac:dyDescent="0.35">
      <c r="A1117" s="12">
        <v>42934</v>
      </c>
      <c r="B1117" s="12">
        <f t="shared" si="17"/>
        <v>42917</v>
      </c>
      <c r="C1117">
        <v>3.1661999999999999</v>
      </c>
    </row>
    <row r="1118" spans="1:3" x14ac:dyDescent="0.35">
      <c r="A1118" s="12">
        <v>42933</v>
      </c>
      <c r="B1118" s="12">
        <f t="shared" si="17"/>
        <v>42917</v>
      </c>
      <c r="C1118">
        <v>3.1815000000000002</v>
      </c>
    </row>
    <row r="1119" spans="1:3" x14ac:dyDescent="0.35">
      <c r="A1119" s="12">
        <v>42930</v>
      </c>
      <c r="B1119" s="12">
        <f t="shared" si="17"/>
        <v>42917</v>
      </c>
      <c r="C1119">
        <v>3.1892999999999998</v>
      </c>
    </row>
    <row r="1120" spans="1:3" x14ac:dyDescent="0.35">
      <c r="A1120" s="12">
        <v>42929</v>
      </c>
      <c r="B1120" s="12">
        <f t="shared" si="17"/>
        <v>42917</v>
      </c>
      <c r="C1120">
        <v>3.2101999999999999</v>
      </c>
    </row>
    <row r="1121" spans="1:3" x14ac:dyDescent="0.35">
      <c r="A1121" s="12">
        <v>42928</v>
      </c>
      <c r="B1121" s="12">
        <f t="shared" si="17"/>
        <v>42917</v>
      </c>
      <c r="C1121">
        <v>3.2258</v>
      </c>
    </row>
    <row r="1122" spans="1:3" x14ac:dyDescent="0.35">
      <c r="A1122" s="12">
        <v>42927</v>
      </c>
      <c r="B1122" s="12">
        <f t="shared" si="17"/>
        <v>42917</v>
      </c>
      <c r="C1122">
        <v>3.2515999999999998</v>
      </c>
    </row>
    <row r="1123" spans="1:3" x14ac:dyDescent="0.35">
      <c r="A1123" s="12">
        <v>42926</v>
      </c>
      <c r="B1123" s="12">
        <f t="shared" si="17"/>
        <v>42917</v>
      </c>
      <c r="C1123">
        <v>3.2644000000000002</v>
      </c>
    </row>
    <row r="1124" spans="1:3" x14ac:dyDescent="0.35">
      <c r="A1124" s="12">
        <v>42923</v>
      </c>
      <c r="B1124" s="12">
        <f t="shared" si="17"/>
        <v>42917</v>
      </c>
      <c r="C1124">
        <v>3.2888999999999999</v>
      </c>
    </row>
    <row r="1125" spans="1:3" x14ac:dyDescent="0.35">
      <c r="A1125" s="12">
        <v>42922</v>
      </c>
      <c r="B1125" s="12">
        <f t="shared" si="17"/>
        <v>42917</v>
      </c>
      <c r="C1125">
        <v>3.3058000000000001</v>
      </c>
    </row>
    <row r="1126" spans="1:3" x14ac:dyDescent="0.35">
      <c r="A1126" s="12">
        <v>42921</v>
      </c>
      <c r="B1126" s="12">
        <f t="shared" si="17"/>
        <v>42917</v>
      </c>
      <c r="C1126">
        <v>3.3187000000000002</v>
      </c>
    </row>
    <row r="1127" spans="1:3" x14ac:dyDescent="0.35">
      <c r="A1127" s="12">
        <v>42920</v>
      </c>
      <c r="B1127" s="12">
        <f t="shared" si="17"/>
        <v>42917</v>
      </c>
      <c r="C1127">
        <v>3.3043999999999998</v>
      </c>
    </row>
    <row r="1128" spans="1:3" x14ac:dyDescent="0.35">
      <c r="A1128" s="12">
        <v>42919</v>
      </c>
      <c r="B1128" s="12">
        <f t="shared" si="17"/>
        <v>42917</v>
      </c>
      <c r="C1128">
        <v>3.3008999999999999</v>
      </c>
    </row>
    <row r="1129" spans="1:3" x14ac:dyDescent="0.35">
      <c r="A1129" s="12">
        <v>42916</v>
      </c>
      <c r="B1129" s="12">
        <f t="shared" si="17"/>
        <v>42887</v>
      </c>
      <c r="C1129">
        <v>3.3075999999999999</v>
      </c>
    </row>
    <row r="1130" spans="1:3" x14ac:dyDescent="0.35">
      <c r="A1130" s="12">
        <v>42915</v>
      </c>
      <c r="B1130" s="12">
        <f t="shared" si="17"/>
        <v>42887</v>
      </c>
      <c r="C1130">
        <v>3.2946</v>
      </c>
    </row>
    <row r="1131" spans="1:3" x14ac:dyDescent="0.35">
      <c r="A1131" s="12">
        <v>42914</v>
      </c>
      <c r="B1131" s="12">
        <f t="shared" si="17"/>
        <v>42887</v>
      </c>
      <c r="C1131">
        <v>3.3024</v>
      </c>
    </row>
    <row r="1132" spans="1:3" x14ac:dyDescent="0.35">
      <c r="A1132" s="12">
        <v>42913</v>
      </c>
      <c r="B1132" s="12">
        <f t="shared" si="17"/>
        <v>42887</v>
      </c>
      <c r="C1132">
        <v>3.3166000000000002</v>
      </c>
    </row>
    <row r="1133" spans="1:3" x14ac:dyDescent="0.35">
      <c r="A1133" s="12">
        <v>42912</v>
      </c>
      <c r="B1133" s="12">
        <f t="shared" si="17"/>
        <v>42887</v>
      </c>
      <c r="C1133">
        <v>3.3121999999999998</v>
      </c>
    </row>
    <row r="1134" spans="1:3" x14ac:dyDescent="0.35">
      <c r="A1134" s="12">
        <v>42909</v>
      </c>
      <c r="B1134" s="12">
        <f t="shared" si="17"/>
        <v>42887</v>
      </c>
      <c r="C1134">
        <v>3.3336000000000001</v>
      </c>
    </row>
    <row r="1135" spans="1:3" x14ac:dyDescent="0.35">
      <c r="A1135" s="12">
        <v>42908</v>
      </c>
      <c r="B1135" s="12">
        <f t="shared" si="17"/>
        <v>42887</v>
      </c>
      <c r="C1135">
        <v>3.3355999999999999</v>
      </c>
    </row>
    <row r="1136" spans="1:3" x14ac:dyDescent="0.35">
      <c r="A1136" s="12">
        <v>42907</v>
      </c>
      <c r="B1136" s="12">
        <f t="shared" si="17"/>
        <v>42887</v>
      </c>
      <c r="C1136">
        <v>3.3241000000000001</v>
      </c>
    </row>
    <row r="1137" spans="1:3" x14ac:dyDescent="0.35">
      <c r="A1137" s="12">
        <v>42906</v>
      </c>
      <c r="B1137" s="12">
        <f t="shared" si="17"/>
        <v>42887</v>
      </c>
      <c r="C1137">
        <v>3.3138999999999998</v>
      </c>
    </row>
    <row r="1138" spans="1:3" x14ac:dyDescent="0.35">
      <c r="A1138" s="12">
        <v>42905</v>
      </c>
      <c r="B1138" s="12">
        <f t="shared" si="17"/>
        <v>42887</v>
      </c>
      <c r="C1138">
        <v>3.2968999999999999</v>
      </c>
    </row>
    <row r="1139" spans="1:3" x14ac:dyDescent="0.35">
      <c r="A1139" s="12">
        <v>42902</v>
      </c>
      <c r="B1139" s="12">
        <f t="shared" si="17"/>
        <v>42887</v>
      </c>
      <c r="C1139">
        <v>3.2886000000000002</v>
      </c>
    </row>
    <row r="1140" spans="1:3" x14ac:dyDescent="0.35">
      <c r="A1140" s="12">
        <v>42900</v>
      </c>
      <c r="B1140" s="12">
        <f t="shared" si="17"/>
        <v>42887</v>
      </c>
      <c r="C1140">
        <v>3.2829999999999999</v>
      </c>
    </row>
    <row r="1141" spans="1:3" x14ac:dyDescent="0.35">
      <c r="A1141" s="12">
        <v>42899</v>
      </c>
      <c r="B1141" s="12">
        <f t="shared" si="17"/>
        <v>42887</v>
      </c>
      <c r="C1141">
        <v>3.3201999999999998</v>
      </c>
    </row>
    <row r="1142" spans="1:3" x14ac:dyDescent="0.35">
      <c r="A1142" s="12">
        <v>42898</v>
      </c>
      <c r="B1142" s="12">
        <f t="shared" si="17"/>
        <v>42887</v>
      </c>
      <c r="C1142">
        <v>3.298</v>
      </c>
    </row>
    <row r="1143" spans="1:3" x14ac:dyDescent="0.35">
      <c r="A1143" s="12">
        <v>42895</v>
      </c>
      <c r="B1143" s="12">
        <f t="shared" si="17"/>
        <v>42887</v>
      </c>
      <c r="C1143">
        <v>3.2734000000000001</v>
      </c>
    </row>
    <row r="1144" spans="1:3" x14ac:dyDescent="0.35">
      <c r="A1144" s="12">
        <v>42894</v>
      </c>
      <c r="B1144" s="12">
        <f t="shared" si="17"/>
        <v>42887</v>
      </c>
      <c r="C1144">
        <v>3.2831999999999999</v>
      </c>
    </row>
    <row r="1145" spans="1:3" x14ac:dyDescent="0.35">
      <c r="A1145" s="12">
        <v>42893</v>
      </c>
      <c r="B1145" s="12">
        <f t="shared" si="17"/>
        <v>42887</v>
      </c>
      <c r="C1145">
        <v>3.2740999999999998</v>
      </c>
    </row>
    <row r="1146" spans="1:3" x14ac:dyDescent="0.35">
      <c r="A1146" s="12">
        <v>42892</v>
      </c>
      <c r="B1146" s="12">
        <f t="shared" si="17"/>
        <v>42887</v>
      </c>
      <c r="C1146">
        <v>3.2810999999999999</v>
      </c>
    </row>
    <row r="1147" spans="1:3" x14ac:dyDescent="0.35">
      <c r="A1147" s="12">
        <v>42891</v>
      </c>
      <c r="B1147" s="12">
        <f t="shared" si="17"/>
        <v>42887</v>
      </c>
      <c r="C1147">
        <v>3.2814000000000001</v>
      </c>
    </row>
    <row r="1148" spans="1:3" x14ac:dyDescent="0.35">
      <c r="A1148" s="12">
        <v>42888</v>
      </c>
      <c r="B1148" s="12">
        <f t="shared" si="17"/>
        <v>42887</v>
      </c>
      <c r="C1148">
        <v>3.2395</v>
      </c>
    </row>
    <row r="1149" spans="1:3" x14ac:dyDescent="0.35">
      <c r="A1149" s="12">
        <v>42887</v>
      </c>
      <c r="B1149" s="12">
        <f t="shared" si="17"/>
        <v>42887</v>
      </c>
      <c r="C1149">
        <v>3.2301000000000002</v>
      </c>
    </row>
    <row r="1150" spans="1:3" x14ac:dyDescent="0.35">
      <c r="A1150" s="12">
        <v>42886</v>
      </c>
      <c r="B1150" s="12">
        <f t="shared" si="17"/>
        <v>42856</v>
      </c>
      <c r="C1150">
        <v>3.2431000000000001</v>
      </c>
    </row>
    <row r="1151" spans="1:3" x14ac:dyDescent="0.35">
      <c r="A1151" s="12">
        <v>42885</v>
      </c>
      <c r="B1151" s="12">
        <f t="shared" si="17"/>
        <v>42856</v>
      </c>
      <c r="C1151">
        <v>3.2652999999999999</v>
      </c>
    </row>
    <row r="1152" spans="1:3" x14ac:dyDescent="0.35">
      <c r="A1152" s="12">
        <v>42884</v>
      </c>
      <c r="B1152" s="12">
        <f t="shared" si="17"/>
        <v>42856</v>
      </c>
      <c r="C1152">
        <v>3.2703000000000002</v>
      </c>
    </row>
    <row r="1153" spans="1:3" x14ac:dyDescent="0.35">
      <c r="A1153" s="12">
        <v>42881</v>
      </c>
      <c r="B1153" s="12">
        <f t="shared" si="17"/>
        <v>42856</v>
      </c>
      <c r="C1153">
        <v>3.2608000000000001</v>
      </c>
    </row>
    <row r="1154" spans="1:3" x14ac:dyDescent="0.35">
      <c r="A1154" s="12">
        <v>42880</v>
      </c>
      <c r="B1154" s="12">
        <f t="shared" si="17"/>
        <v>42856</v>
      </c>
      <c r="C1154">
        <v>3.2818000000000001</v>
      </c>
    </row>
    <row r="1155" spans="1:3" x14ac:dyDescent="0.35">
      <c r="A1155" s="12">
        <v>42879</v>
      </c>
      <c r="B1155" s="12">
        <f t="shared" ref="B1155:B1218" si="18">DATE(YEAR(A1155),MONTH(A1155),DAY(1))</f>
        <v>42856</v>
      </c>
      <c r="C1155">
        <v>3.2623000000000002</v>
      </c>
    </row>
    <row r="1156" spans="1:3" x14ac:dyDescent="0.35">
      <c r="A1156" s="12">
        <v>42878</v>
      </c>
      <c r="B1156" s="12">
        <f t="shared" si="18"/>
        <v>42856</v>
      </c>
      <c r="C1156">
        <v>3.2648000000000001</v>
      </c>
    </row>
    <row r="1157" spans="1:3" x14ac:dyDescent="0.35">
      <c r="A1157" s="12">
        <v>42877</v>
      </c>
      <c r="B1157" s="12">
        <f t="shared" si="18"/>
        <v>42856</v>
      </c>
      <c r="C1157">
        <v>3.2856999999999998</v>
      </c>
    </row>
    <row r="1158" spans="1:3" x14ac:dyDescent="0.35">
      <c r="A1158" s="12">
        <v>42874</v>
      </c>
      <c r="B1158" s="12">
        <f t="shared" si="18"/>
        <v>42856</v>
      </c>
      <c r="C1158">
        <v>3.2871999999999999</v>
      </c>
    </row>
    <row r="1159" spans="1:3" x14ac:dyDescent="0.35">
      <c r="A1159" s="12">
        <v>42873</v>
      </c>
      <c r="B1159" s="12">
        <f t="shared" si="18"/>
        <v>42856</v>
      </c>
      <c r="C1159">
        <v>3.3755999999999999</v>
      </c>
    </row>
    <row r="1160" spans="1:3" x14ac:dyDescent="0.35">
      <c r="A1160" s="12">
        <v>42872</v>
      </c>
      <c r="B1160" s="12">
        <f t="shared" si="18"/>
        <v>42856</v>
      </c>
      <c r="C1160">
        <v>3.1070000000000002</v>
      </c>
    </row>
    <row r="1161" spans="1:3" x14ac:dyDescent="0.35">
      <c r="A1161" s="12">
        <v>42871</v>
      </c>
      <c r="B1161" s="12">
        <f t="shared" si="18"/>
        <v>42856</v>
      </c>
      <c r="C1161">
        <v>3.0918000000000001</v>
      </c>
    </row>
    <row r="1162" spans="1:3" x14ac:dyDescent="0.35">
      <c r="A1162" s="12">
        <v>42870</v>
      </c>
      <c r="B1162" s="12">
        <f t="shared" si="18"/>
        <v>42856</v>
      </c>
      <c r="C1162">
        <v>3.1004999999999998</v>
      </c>
    </row>
    <row r="1163" spans="1:3" x14ac:dyDescent="0.35">
      <c r="A1163" s="12">
        <v>42867</v>
      </c>
      <c r="B1163" s="12">
        <f t="shared" si="18"/>
        <v>42856</v>
      </c>
      <c r="C1163">
        <v>3.1284000000000001</v>
      </c>
    </row>
    <row r="1164" spans="1:3" x14ac:dyDescent="0.35">
      <c r="A1164" s="12">
        <v>42866</v>
      </c>
      <c r="B1164" s="12">
        <f t="shared" si="18"/>
        <v>42856</v>
      </c>
      <c r="C1164">
        <v>3.1553</v>
      </c>
    </row>
    <row r="1165" spans="1:3" x14ac:dyDescent="0.35">
      <c r="A1165" s="12">
        <v>42865</v>
      </c>
      <c r="B1165" s="12">
        <f t="shared" si="18"/>
        <v>42856</v>
      </c>
      <c r="C1165">
        <v>3.16</v>
      </c>
    </row>
    <row r="1166" spans="1:3" x14ac:dyDescent="0.35">
      <c r="A1166" s="12">
        <v>42864</v>
      </c>
      <c r="B1166" s="12">
        <f t="shared" si="18"/>
        <v>42856</v>
      </c>
      <c r="C1166">
        <v>3.1850999999999998</v>
      </c>
    </row>
    <row r="1167" spans="1:3" x14ac:dyDescent="0.35">
      <c r="A1167" s="12">
        <v>42863</v>
      </c>
      <c r="B1167" s="12">
        <f t="shared" si="18"/>
        <v>42856</v>
      </c>
      <c r="C1167">
        <v>3.1932</v>
      </c>
    </row>
    <row r="1168" spans="1:3" x14ac:dyDescent="0.35">
      <c r="A1168" s="12">
        <v>42860</v>
      </c>
      <c r="B1168" s="12">
        <f t="shared" si="18"/>
        <v>42856</v>
      </c>
      <c r="C1168">
        <v>3.1758000000000002</v>
      </c>
    </row>
    <row r="1169" spans="1:3" x14ac:dyDescent="0.35">
      <c r="A1169" s="12">
        <v>42859</v>
      </c>
      <c r="B1169" s="12">
        <f t="shared" si="18"/>
        <v>42856</v>
      </c>
      <c r="C1169">
        <v>3.1774</v>
      </c>
    </row>
    <row r="1170" spans="1:3" x14ac:dyDescent="0.35">
      <c r="A1170" s="12">
        <v>42858</v>
      </c>
      <c r="B1170" s="12">
        <f t="shared" si="18"/>
        <v>42856</v>
      </c>
      <c r="C1170">
        <v>3.1482999999999999</v>
      </c>
    </row>
    <row r="1171" spans="1:3" x14ac:dyDescent="0.35">
      <c r="A1171" s="12">
        <v>42857</v>
      </c>
      <c r="B1171" s="12">
        <f t="shared" si="18"/>
        <v>42856</v>
      </c>
      <c r="C1171">
        <v>3.1718000000000002</v>
      </c>
    </row>
    <row r="1172" spans="1:3" x14ac:dyDescent="0.35">
      <c r="A1172" s="12">
        <v>42853</v>
      </c>
      <c r="B1172" s="12">
        <f t="shared" si="18"/>
        <v>42826</v>
      </c>
      <c r="C1172">
        <v>3.1978</v>
      </c>
    </row>
    <row r="1173" spans="1:3" x14ac:dyDescent="0.35">
      <c r="A1173" s="12">
        <v>42852</v>
      </c>
      <c r="B1173" s="12">
        <f t="shared" si="18"/>
        <v>42826</v>
      </c>
      <c r="C1173">
        <v>3.1757</v>
      </c>
    </row>
    <row r="1174" spans="1:3" x14ac:dyDescent="0.35">
      <c r="A1174" s="12">
        <v>42851</v>
      </c>
      <c r="B1174" s="12">
        <f t="shared" si="18"/>
        <v>42826</v>
      </c>
      <c r="C1174">
        <v>3.1840999999999999</v>
      </c>
    </row>
    <row r="1175" spans="1:3" x14ac:dyDescent="0.35">
      <c r="A1175" s="12">
        <v>42850</v>
      </c>
      <c r="B1175" s="12">
        <f t="shared" si="18"/>
        <v>42826</v>
      </c>
      <c r="C1175">
        <v>3.1570999999999998</v>
      </c>
    </row>
    <row r="1176" spans="1:3" x14ac:dyDescent="0.35">
      <c r="A1176" s="12">
        <v>42849</v>
      </c>
      <c r="B1176" s="12">
        <f t="shared" si="18"/>
        <v>42826</v>
      </c>
      <c r="C1176">
        <v>3.1244999999999998</v>
      </c>
    </row>
    <row r="1177" spans="1:3" x14ac:dyDescent="0.35">
      <c r="A1177" s="12">
        <v>42845</v>
      </c>
      <c r="B1177" s="12">
        <f t="shared" si="18"/>
        <v>42826</v>
      </c>
      <c r="C1177">
        <v>3.1446999999999998</v>
      </c>
    </row>
    <row r="1178" spans="1:3" x14ac:dyDescent="0.35">
      <c r="A1178" s="12">
        <v>42844</v>
      </c>
      <c r="B1178" s="12">
        <f t="shared" si="18"/>
        <v>42826</v>
      </c>
      <c r="C1178">
        <v>3.1288</v>
      </c>
    </row>
    <row r="1179" spans="1:3" x14ac:dyDescent="0.35">
      <c r="A1179" s="12">
        <v>42843</v>
      </c>
      <c r="B1179" s="12">
        <f t="shared" si="18"/>
        <v>42826</v>
      </c>
      <c r="C1179">
        <v>3.0952000000000002</v>
      </c>
    </row>
    <row r="1180" spans="1:3" x14ac:dyDescent="0.35">
      <c r="A1180" s="12">
        <v>42842</v>
      </c>
      <c r="B1180" s="12">
        <f t="shared" si="18"/>
        <v>42826</v>
      </c>
      <c r="C1180">
        <v>3.1030000000000002</v>
      </c>
    </row>
    <row r="1181" spans="1:3" x14ac:dyDescent="0.35">
      <c r="A1181" s="12">
        <v>42838</v>
      </c>
      <c r="B1181" s="12">
        <f t="shared" si="18"/>
        <v>42826</v>
      </c>
      <c r="C1181">
        <v>3.1263000000000001</v>
      </c>
    </row>
    <row r="1182" spans="1:3" x14ac:dyDescent="0.35">
      <c r="A1182" s="12">
        <v>42837</v>
      </c>
      <c r="B1182" s="12">
        <f t="shared" si="18"/>
        <v>42826</v>
      </c>
      <c r="C1182">
        <v>3.1457000000000002</v>
      </c>
    </row>
    <row r="1183" spans="1:3" x14ac:dyDescent="0.35">
      <c r="A1183" s="12">
        <v>42836</v>
      </c>
      <c r="B1183" s="12">
        <f t="shared" si="18"/>
        <v>42826</v>
      </c>
      <c r="C1183">
        <v>3.1417999999999999</v>
      </c>
    </row>
    <row r="1184" spans="1:3" x14ac:dyDescent="0.35">
      <c r="A1184" s="12">
        <v>42835</v>
      </c>
      <c r="B1184" s="12">
        <f t="shared" si="18"/>
        <v>42826</v>
      </c>
      <c r="C1184">
        <v>3.1402999999999999</v>
      </c>
    </row>
    <row r="1185" spans="1:3" x14ac:dyDescent="0.35">
      <c r="A1185" s="12">
        <v>42832</v>
      </c>
      <c r="B1185" s="12">
        <f t="shared" si="18"/>
        <v>42826</v>
      </c>
      <c r="C1185">
        <v>3.1295999999999999</v>
      </c>
    </row>
    <row r="1186" spans="1:3" x14ac:dyDescent="0.35">
      <c r="A1186" s="12">
        <v>42831</v>
      </c>
      <c r="B1186" s="12">
        <f t="shared" si="18"/>
        <v>42826</v>
      </c>
      <c r="C1186">
        <v>3.1154000000000002</v>
      </c>
    </row>
    <row r="1187" spans="1:3" x14ac:dyDescent="0.35">
      <c r="A1187" s="12">
        <v>42830</v>
      </c>
      <c r="B1187" s="12">
        <f t="shared" si="18"/>
        <v>42826</v>
      </c>
      <c r="C1187">
        <v>3.0916999999999999</v>
      </c>
    </row>
    <row r="1188" spans="1:3" x14ac:dyDescent="0.35">
      <c r="A1188" s="12">
        <v>42829</v>
      </c>
      <c r="B1188" s="12">
        <f t="shared" si="18"/>
        <v>42826</v>
      </c>
      <c r="C1188">
        <v>3.1225000000000001</v>
      </c>
    </row>
    <row r="1189" spans="1:3" x14ac:dyDescent="0.35">
      <c r="A1189" s="12">
        <v>42828</v>
      </c>
      <c r="B1189" s="12">
        <f t="shared" si="18"/>
        <v>42826</v>
      </c>
      <c r="C1189">
        <v>3.1160999999999999</v>
      </c>
    </row>
    <row r="1190" spans="1:3" x14ac:dyDescent="0.35">
      <c r="A1190" s="12">
        <v>42825</v>
      </c>
      <c r="B1190" s="12">
        <f t="shared" si="18"/>
        <v>42795</v>
      </c>
      <c r="C1190">
        <v>3.1678000000000002</v>
      </c>
    </row>
    <row r="1191" spans="1:3" x14ac:dyDescent="0.35">
      <c r="A1191" s="12">
        <v>42824</v>
      </c>
      <c r="B1191" s="12">
        <f t="shared" si="18"/>
        <v>42795</v>
      </c>
      <c r="C1191">
        <v>3.1240999999999999</v>
      </c>
    </row>
    <row r="1192" spans="1:3" x14ac:dyDescent="0.35">
      <c r="A1192" s="12">
        <v>42823</v>
      </c>
      <c r="B1192" s="12">
        <f t="shared" si="18"/>
        <v>42795</v>
      </c>
      <c r="C1192">
        <v>3.1223000000000001</v>
      </c>
    </row>
    <row r="1193" spans="1:3" x14ac:dyDescent="0.35">
      <c r="A1193" s="12">
        <v>42822</v>
      </c>
      <c r="B1193" s="12">
        <f t="shared" si="18"/>
        <v>42795</v>
      </c>
      <c r="C1193">
        <v>3.1297000000000001</v>
      </c>
    </row>
    <row r="1194" spans="1:3" x14ac:dyDescent="0.35">
      <c r="A1194" s="12">
        <v>42821</v>
      </c>
      <c r="B1194" s="12">
        <f t="shared" si="18"/>
        <v>42795</v>
      </c>
      <c r="C1194">
        <v>3.125</v>
      </c>
    </row>
    <row r="1195" spans="1:3" x14ac:dyDescent="0.35">
      <c r="A1195" s="12">
        <v>42818</v>
      </c>
      <c r="B1195" s="12">
        <f t="shared" si="18"/>
        <v>42795</v>
      </c>
      <c r="C1195">
        <v>3.1276000000000002</v>
      </c>
    </row>
    <row r="1196" spans="1:3" x14ac:dyDescent="0.35">
      <c r="A1196" s="12">
        <v>42817</v>
      </c>
      <c r="B1196" s="12">
        <f t="shared" si="18"/>
        <v>42795</v>
      </c>
      <c r="C1196">
        <v>3.1242000000000001</v>
      </c>
    </row>
    <row r="1197" spans="1:3" x14ac:dyDescent="0.35">
      <c r="A1197" s="12">
        <v>42816</v>
      </c>
      <c r="B1197" s="12">
        <f t="shared" si="18"/>
        <v>42795</v>
      </c>
      <c r="C1197">
        <v>3.0933000000000002</v>
      </c>
    </row>
    <row r="1198" spans="1:3" x14ac:dyDescent="0.35">
      <c r="A1198" s="12">
        <v>42815</v>
      </c>
      <c r="B1198" s="12">
        <f t="shared" si="18"/>
        <v>42795</v>
      </c>
      <c r="C1198">
        <v>3.0758999999999999</v>
      </c>
    </row>
    <row r="1199" spans="1:3" x14ac:dyDescent="0.35">
      <c r="A1199" s="12">
        <v>42814</v>
      </c>
      <c r="B1199" s="12">
        <f t="shared" si="18"/>
        <v>42795</v>
      </c>
      <c r="C1199">
        <v>3.0891999999999999</v>
      </c>
    </row>
    <row r="1200" spans="1:3" x14ac:dyDescent="0.35">
      <c r="A1200" s="12">
        <v>42811</v>
      </c>
      <c r="B1200" s="12">
        <f t="shared" si="18"/>
        <v>42795</v>
      </c>
      <c r="C1200">
        <v>3.1069</v>
      </c>
    </row>
    <row r="1201" spans="1:3" x14ac:dyDescent="0.35">
      <c r="A1201" s="12">
        <v>42810</v>
      </c>
      <c r="B1201" s="12">
        <f t="shared" si="18"/>
        <v>42795</v>
      </c>
      <c r="C1201">
        <v>3.1074000000000002</v>
      </c>
    </row>
    <row r="1202" spans="1:3" x14ac:dyDescent="0.35">
      <c r="A1202" s="12">
        <v>42809</v>
      </c>
      <c r="B1202" s="12">
        <f t="shared" si="18"/>
        <v>42795</v>
      </c>
      <c r="C1202">
        <v>3.1623000000000001</v>
      </c>
    </row>
    <row r="1203" spans="1:3" x14ac:dyDescent="0.35">
      <c r="A1203" s="12">
        <v>42808</v>
      </c>
      <c r="B1203" s="12">
        <f t="shared" si="18"/>
        <v>42795</v>
      </c>
      <c r="C1203">
        <v>3.1633</v>
      </c>
    </row>
    <row r="1204" spans="1:3" x14ac:dyDescent="0.35">
      <c r="A1204" s="12">
        <v>42807</v>
      </c>
      <c r="B1204" s="12">
        <f t="shared" si="18"/>
        <v>42795</v>
      </c>
      <c r="C1204">
        <v>3.1535000000000002</v>
      </c>
    </row>
    <row r="1205" spans="1:3" x14ac:dyDescent="0.35">
      <c r="A1205" s="12">
        <v>42804</v>
      </c>
      <c r="B1205" s="12">
        <f t="shared" si="18"/>
        <v>42795</v>
      </c>
      <c r="C1205">
        <v>3.1617000000000002</v>
      </c>
    </row>
    <row r="1206" spans="1:3" x14ac:dyDescent="0.35">
      <c r="A1206" s="12">
        <v>42803</v>
      </c>
      <c r="B1206" s="12">
        <f t="shared" si="18"/>
        <v>42795</v>
      </c>
      <c r="C1206">
        <v>3.1728999999999998</v>
      </c>
    </row>
    <row r="1207" spans="1:3" x14ac:dyDescent="0.35">
      <c r="A1207" s="12">
        <v>42802</v>
      </c>
      <c r="B1207" s="12">
        <f t="shared" si="18"/>
        <v>42795</v>
      </c>
      <c r="C1207">
        <v>3.1471</v>
      </c>
    </row>
    <row r="1208" spans="1:3" x14ac:dyDescent="0.35">
      <c r="A1208" s="12">
        <v>42801</v>
      </c>
      <c r="B1208" s="12">
        <f t="shared" si="18"/>
        <v>42795</v>
      </c>
      <c r="C1208">
        <v>3.1179000000000001</v>
      </c>
    </row>
    <row r="1209" spans="1:3" x14ac:dyDescent="0.35">
      <c r="A1209" s="12">
        <v>42800</v>
      </c>
      <c r="B1209" s="12">
        <f t="shared" si="18"/>
        <v>42795</v>
      </c>
      <c r="C1209">
        <v>3.1105</v>
      </c>
    </row>
    <row r="1210" spans="1:3" x14ac:dyDescent="0.35">
      <c r="A1210" s="12">
        <v>42797</v>
      </c>
      <c r="B1210" s="12">
        <f t="shared" si="18"/>
        <v>42795</v>
      </c>
      <c r="C1210">
        <v>3.1358000000000001</v>
      </c>
    </row>
    <row r="1211" spans="1:3" x14ac:dyDescent="0.35">
      <c r="A1211" s="12">
        <v>42796</v>
      </c>
      <c r="B1211" s="12">
        <f t="shared" si="18"/>
        <v>42795</v>
      </c>
      <c r="C1211">
        <v>3.1132</v>
      </c>
    </row>
    <row r="1212" spans="1:3" x14ac:dyDescent="0.35">
      <c r="A1212" s="12">
        <v>42795</v>
      </c>
      <c r="B1212" s="12">
        <f t="shared" si="18"/>
        <v>42795</v>
      </c>
      <c r="C1212">
        <v>3.097</v>
      </c>
    </row>
    <row r="1213" spans="1:3" x14ac:dyDescent="0.35">
      <c r="A1213" s="12">
        <v>42790</v>
      </c>
      <c r="B1213" s="12">
        <f t="shared" si="18"/>
        <v>42767</v>
      </c>
      <c r="C1213">
        <v>3.0987</v>
      </c>
    </row>
    <row r="1214" spans="1:3" x14ac:dyDescent="0.35">
      <c r="A1214" s="12">
        <v>42789</v>
      </c>
      <c r="B1214" s="12">
        <f t="shared" si="18"/>
        <v>42767</v>
      </c>
      <c r="C1214">
        <v>3.0632000000000001</v>
      </c>
    </row>
    <row r="1215" spans="1:3" x14ac:dyDescent="0.35">
      <c r="A1215" s="12">
        <v>42788</v>
      </c>
      <c r="B1215" s="12">
        <f t="shared" si="18"/>
        <v>42767</v>
      </c>
      <c r="C1215">
        <v>3.0817999999999999</v>
      </c>
    </row>
    <row r="1216" spans="1:3" x14ac:dyDescent="0.35">
      <c r="A1216" s="12">
        <v>42787</v>
      </c>
      <c r="B1216" s="12">
        <f t="shared" si="18"/>
        <v>42767</v>
      </c>
      <c r="C1216">
        <v>3.0964</v>
      </c>
    </row>
    <row r="1217" spans="1:3" x14ac:dyDescent="0.35">
      <c r="A1217" s="12">
        <v>42786</v>
      </c>
      <c r="B1217" s="12">
        <f t="shared" si="18"/>
        <v>42767</v>
      </c>
      <c r="C1217">
        <v>3.0912000000000002</v>
      </c>
    </row>
    <row r="1218" spans="1:3" x14ac:dyDescent="0.35">
      <c r="A1218" s="12">
        <v>42783</v>
      </c>
      <c r="B1218" s="12">
        <f t="shared" si="18"/>
        <v>42767</v>
      </c>
      <c r="C1218">
        <v>3.0943999999999998</v>
      </c>
    </row>
    <row r="1219" spans="1:3" x14ac:dyDescent="0.35">
      <c r="A1219" s="12">
        <v>42782</v>
      </c>
      <c r="B1219" s="12">
        <f t="shared" ref="B1219:B1282" si="19">DATE(YEAR(A1219),MONTH(A1219),DAY(1))</f>
        <v>42767</v>
      </c>
      <c r="C1219">
        <v>3.0503999999999998</v>
      </c>
    </row>
    <row r="1220" spans="1:3" x14ac:dyDescent="0.35">
      <c r="A1220" s="12">
        <v>42781</v>
      </c>
      <c r="B1220" s="12">
        <f t="shared" si="19"/>
        <v>42767</v>
      </c>
      <c r="C1220">
        <v>3.0773000000000001</v>
      </c>
    </row>
    <row r="1221" spans="1:3" x14ac:dyDescent="0.35">
      <c r="A1221" s="12">
        <v>42780</v>
      </c>
      <c r="B1221" s="12">
        <f t="shared" si="19"/>
        <v>42767</v>
      </c>
      <c r="C1221">
        <v>3.0998000000000001</v>
      </c>
    </row>
    <row r="1222" spans="1:3" x14ac:dyDescent="0.35">
      <c r="A1222" s="12">
        <v>42779</v>
      </c>
      <c r="B1222" s="12">
        <f t="shared" si="19"/>
        <v>42767</v>
      </c>
      <c r="C1222">
        <v>3.1168999999999998</v>
      </c>
    </row>
    <row r="1223" spans="1:3" x14ac:dyDescent="0.35">
      <c r="A1223" s="12">
        <v>42776</v>
      </c>
      <c r="B1223" s="12">
        <f t="shared" si="19"/>
        <v>42767</v>
      </c>
      <c r="C1223">
        <v>3.1149</v>
      </c>
    </row>
    <row r="1224" spans="1:3" x14ac:dyDescent="0.35">
      <c r="A1224" s="12">
        <v>42775</v>
      </c>
      <c r="B1224" s="12">
        <f t="shared" si="19"/>
        <v>42767</v>
      </c>
      <c r="C1224">
        <v>3.1179000000000001</v>
      </c>
    </row>
    <row r="1225" spans="1:3" x14ac:dyDescent="0.35">
      <c r="A1225" s="12">
        <v>42774</v>
      </c>
      <c r="B1225" s="12">
        <f t="shared" si="19"/>
        <v>42767</v>
      </c>
      <c r="C1225">
        <v>3.1248</v>
      </c>
    </row>
    <row r="1226" spans="1:3" x14ac:dyDescent="0.35">
      <c r="A1226" s="12">
        <v>42773</v>
      </c>
      <c r="B1226" s="12">
        <f t="shared" si="19"/>
        <v>42767</v>
      </c>
      <c r="C1226">
        <v>3.1297999999999999</v>
      </c>
    </row>
    <row r="1227" spans="1:3" x14ac:dyDescent="0.35">
      <c r="A1227" s="12">
        <v>42772</v>
      </c>
      <c r="B1227" s="12">
        <f t="shared" si="19"/>
        <v>42767</v>
      </c>
      <c r="C1227">
        <v>3.1173000000000002</v>
      </c>
    </row>
    <row r="1228" spans="1:3" x14ac:dyDescent="0.35">
      <c r="A1228" s="12">
        <v>42769</v>
      </c>
      <c r="B1228" s="12">
        <f t="shared" si="19"/>
        <v>42767</v>
      </c>
      <c r="C1228">
        <v>3.1234999999999999</v>
      </c>
    </row>
    <row r="1229" spans="1:3" x14ac:dyDescent="0.35">
      <c r="A1229" s="12">
        <v>42768</v>
      </c>
      <c r="B1229" s="12">
        <f t="shared" si="19"/>
        <v>42767</v>
      </c>
      <c r="C1229">
        <v>3.1190000000000002</v>
      </c>
    </row>
    <row r="1230" spans="1:3" x14ac:dyDescent="0.35">
      <c r="A1230" s="12">
        <v>42767</v>
      </c>
      <c r="B1230" s="12">
        <f t="shared" si="19"/>
        <v>42767</v>
      </c>
      <c r="C1230">
        <v>3.1473</v>
      </c>
    </row>
    <row r="1231" spans="1:3" x14ac:dyDescent="0.35">
      <c r="A1231" s="12">
        <v>42766</v>
      </c>
      <c r="B1231" s="12">
        <f t="shared" si="19"/>
        <v>42736</v>
      </c>
      <c r="C1231">
        <v>3.1263999999999998</v>
      </c>
    </row>
    <row r="1232" spans="1:3" x14ac:dyDescent="0.35">
      <c r="A1232" s="12">
        <v>42765</v>
      </c>
      <c r="B1232" s="12">
        <f t="shared" si="19"/>
        <v>42736</v>
      </c>
      <c r="C1232">
        <v>3.1309999999999998</v>
      </c>
    </row>
    <row r="1233" spans="1:3" x14ac:dyDescent="0.35">
      <c r="A1233" s="12">
        <v>42762</v>
      </c>
      <c r="B1233" s="12">
        <f t="shared" si="19"/>
        <v>42736</v>
      </c>
      <c r="C1233">
        <v>3.1589999999999998</v>
      </c>
    </row>
    <row r="1234" spans="1:3" x14ac:dyDescent="0.35">
      <c r="A1234" s="12">
        <v>42761</v>
      </c>
      <c r="B1234" s="12">
        <f t="shared" si="19"/>
        <v>42736</v>
      </c>
      <c r="C1234">
        <v>3.1798000000000002</v>
      </c>
    </row>
    <row r="1235" spans="1:3" x14ac:dyDescent="0.35">
      <c r="A1235" s="12">
        <v>42760</v>
      </c>
      <c r="B1235" s="12">
        <f t="shared" si="19"/>
        <v>42736</v>
      </c>
      <c r="C1235">
        <v>3.1678999999999999</v>
      </c>
    </row>
    <row r="1236" spans="1:3" x14ac:dyDescent="0.35">
      <c r="A1236" s="12">
        <v>42759</v>
      </c>
      <c r="B1236" s="12">
        <f t="shared" si="19"/>
        <v>42736</v>
      </c>
      <c r="C1236">
        <v>3.1642999999999999</v>
      </c>
    </row>
    <row r="1237" spans="1:3" x14ac:dyDescent="0.35">
      <c r="A1237" s="12">
        <v>42758</v>
      </c>
      <c r="B1237" s="12">
        <f t="shared" si="19"/>
        <v>42736</v>
      </c>
      <c r="C1237">
        <v>3.1602999999999999</v>
      </c>
    </row>
    <row r="1238" spans="1:3" x14ac:dyDescent="0.35">
      <c r="A1238" s="12">
        <v>42755</v>
      </c>
      <c r="B1238" s="12">
        <f t="shared" si="19"/>
        <v>42736</v>
      </c>
      <c r="C1238">
        <v>3.1911999999999998</v>
      </c>
    </row>
    <row r="1239" spans="1:3" x14ac:dyDescent="0.35">
      <c r="A1239" s="12">
        <v>42754</v>
      </c>
      <c r="B1239" s="12">
        <f t="shared" si="19"/>
        <v>42736</v>
      </c>
      <c r="C1239">
        <v>3.2107000000000001</v>
      </c>
    </row>
    <row r="1240" spans="1:3" x14ac:dyDescent="0.35">
      <c r="A1240" s="12">
        <v>42753</v>
      </c>
      <c r="B1240" s="12">
        <f t="shared" si="19"/>
        <v>42736</v>
      </c>
      <c r="C1240">
        <v>3.2204999999999999</v>
      </c>
    </row>
    <row r="1241" spans="1:3" x14ac:dyDescent="0.35">
      <c r="A1241" s="12">
        <v>42752</v>
      </c>
      <c r="B1241" s="12">
        <f t="shared" si="19"/>
        <v>42736</v>
      </c>
      <c r="C1241">
        <v>3.2094</v>
      </c>
    </row>
    <row r="1242" spans="1:3" x14ac:dyDescent="0.35">
      <c r="A1242" s="12">
        <v>42751</v>
      </c>
      <c r="B1242" s="12">
        <f t="shared" si="19"/>
        <v>42736</v>
      </c>
      <c r="C1242">
        <v>3.2227999999999999</v>
      </c>
    </row>
    <row r="1243" spans="1:3" x14ac:dyDescent="0.35">
      <c r="A1243" s="12">
        <v>42748</v>
      </c>
      <c r="B1243" s="12">
        <f t="shared" si="19"/>
        <v>42736</v>
      </c>
      <c r="C1243">
        <v>3.2027999999999999</v>
      </c>
    </row>
    <row r="1244" spans="1:3" x14ac:dyDescent="0.35">
      <c r="A1244" s="12">
        <v>42747</v>
      </c>
      <c r="B1244" s="12">
        <f t="shared" si="19"/>
        <v>42736</v>
      </c>
      <c r="C1244">
        <v>3.1655000000000002</v>
      </c>
    </row>
    <row r="1245" spans="1:3" x14ac:dyDescent="0.35">
      <c r="A1245" s="12">
        <v>42746</v>
      </c>
      <c r="B1245" s="12">
        <f t="shared" si="19"/>
        <v>42736</v>
      </c>
      <c r="C1245">
        <v>3.2147999999999999</v>
      </c>
    </row>
    <row r="1246" spans="1:3" x14ac:dyDescent="0.35">
      <c r="A1246" s="12">
        <v>42745</v>
      </c>
      <c r="B1246" s="12">
        <f t="shared" si="19"/>
        <v>42736</v>
      </c>
      <c r="C1246">
        <v>3.1911999999999998</v>
      </c>
    </row>
    <row r="1247" spans="1:3" x14ac:dyDescent="0.35">
      <c r="A1247" s="12">
        <v>42744</v>
      </c>
      <c r="B1247" s="12">
        <f t="shared" si="19"/>
        <v>42736</v>
      </c>
      <c r="C1247">
        <v>3.2090999999999998</v>
      </c>
    </row>
    <row r="1248" spans="1:3" x14ac:dyDescent="0.35">
      <c r="A1248" s="12">
        <v>42741</v>
      </c>
      <c r="B1248" s="12">
        <f t="shared" si="19"/>
        <v>42736</v>
      </c>
      <c r="C1248">
        <v>3.2050999999999998</v>
      </c>
    </row>
    <row r="1249" spans="1:3" x14ac:dyDescent="0.35">
      <c r="A1249" s="12">
        <v>42740</v>
      </c>
      <c r="B1249" s="12">
        <f t="shared" si="19"/>
        <v>42736</v>
      </c>
      <c r="C1249">
        <v>3.2122999999999999</v>
      </c>
    </row>
    <row r="1250" spans="1:3" x14ac:dyDescent="0.35">
      <c r="A1250" s="12">
        <v>42739</v>
      </c>
      <c r="B1250" s="12">
        <f t="shared" si="19"/>
        <v>42736</v>
      </c>
      <c r="C1250">
        <v>3.2326999999999999</v>
      </c>
    </row>
    <row r="1251" spans="1:3" x14ac:dyDescent="0.35">
      <c r="A1251" s="12">
        <v>42738</v>
      </c>
      <c r="B1251" s="12">
        <f t="shared" si="19"/>
        <v>42736</v>
      </c>
      <c r="C1251">
        <v>3.2625999999999999</v>
      </c>
    </row>
    <row r="1252" spans="1:3" x14ac:dyDescent="0.35">
      <c r="A1252" s="12">
        <v>42737</v>
      </c>
      <c r="B1252" s="12">
        <f t="shared" si="19"/>
        <v>42736</v>
      </c>
      <c r="C1252">
        <v>3.2723</v>
      </c>
    </row>
    <row r="1253" spans="1:3" x14ac:dyDescent="0.35">
      <c r="A1253" s="12">
        <v>42734</v>
      </c>
      <c r="B1253" s="12">
        <f t="shared" si="19"/>
        <v>42705</v>
      </c>
      <c r="C1253">
        <v>3.2585000000000002</v>
      </c>
    </row>
    <row r="1254" spans="1:3" x14ac:dyDescent="0.35">
      <c r="A1254" s="12">
        <v>42733</v>
      </c>
      <c r="B1254" s="12">
        <f t="shared" si="19"/>
        <v>42705</v>
      </c>
      <c r="C1254">
        <v>3.2585000000000002</v>
      </c>
    </row>
    <row r="1255" spans="1:3" x14ac:dyDescent="0.35">
      <c r="A1255" s="12">
        <v>42732</v>
      </c>
      <c r="B1255" s="12">
        <f t="shared" si="19"/>
        <v>42705</v>
      </c>
      <c r="C1255">
        <v>3.2768000000000002</v>
      </c>
    </row>
    <row r="1256" spans="1:3" x14ac:dyDescent="0.35">
      <c r="A1256" s="12">
        <v>42731</v>
      </c>
      <c r="B1256" s="12">
        <f t="shared" si="19"/>
        <v>42705</v>
      </c>
      <c r="C1256">
        <v>3.2770000000000001</v>
      </c>
    </row>
    <row r="1257" spans="1:3" x14ac:dyDescent="0.35">
      <c r="A1257" s="12">
        <v>42730</v>
      </c>
      <c r="B1257" s="12">
        <f t="shared" si="19"/>
        <v>42705</v>
      </c>
      <c r="C1257">
        <v>3.2694999999999999</v>
      </c>
    </row>
    <row r="1258" spans="1:3" x14ac:dyDescent="0.35">
      <c r="A1258" s="12">
        <v>42727</v>
      </c>
      <c r="B1258" s="12">
        <f t="shared" si="19"/>
        <v>42705</v>
      </c>
      <c r="C1258">
        <v>3.2690000000000001</v>
      </c>
    </row>
    <row r="1259" spans="1:3" x14ac:dyDescent="0.35">
      <c r="A1259" s="12">
        <v>42726</v>
      </c>
      <c r="B1259" s="12">
        <f t="shared" si="19"/>
        <v>42705</v>
      </c>
      <c r="C1259">
        <v>3.3296000000000001</v>
      </c>
    </row>
    <row r="1260" spans="1:3" x14ac:dyDescent="0.35">
      <c r="A1260" s="12">
        <v>42725</v>
      </c>
      <c r="B1260" s="12">
        <f t="shared" si="19"/>
        <v>42705</v>
      </c>
      <c r="C1260">
        <v>3.3290999999999999</v>
      </c>
    </row>
    <row r="1261" spans="1:3" x14ac:dyDescent="0.35">
      <c r="A1261" s="12">
        <v>42724</v>
      </c>
      <c r="B1261" s="12">
        <f t="shared" si="19"/>
        <v>42705</v>
      </c>
      <c r="C1261">
        <v>3.3580000000000001</v>
      </c>
    </row>
    <row r="1262" spans="1:3" x14ac:dyDescent="0.35">
      <c r="A1262" s="12">
        <v>42723</v>
      </c>
      <c r="B1262" s="12">
        <f t="shared" si="19"/>
        <v>42705</v>
      </c>
      <c r="C1262">
        <v>3.3772000000000002</v>
      </c>
    </row>
    <row r="1263" spans="1:3" x14ac:dyDescent="0.35">
      <c r="A1263" s="12">
        <v>42720</v>
      </c>
      <c r="B1263" s="12">
        <f t="shared" si="19"/>
        <v>42705</v>
      </c>
      <c r="C1263">
        <v>3.3706</v>
      </c>
    </row>
    <row r="1264" spans="1:3" x14ac:dyDescent="0.35">
      <c r="A1264" s="12">
        <v>42719</v>
      </c>
      <c r="B1264" s="12">
        <f t="shared" si="19"/>
        <v>42705</v>
      </c>
      <c r="C1264">
        <v>3.3824000000000001</v>
      </c>
    </row>
    <row r="1265" spans="1:3" x14ac:dyDescent="0.35">
      <c r="A1265" s="12">
        <v>42718</v>
      </c>
      <c r="B1265" s="12">
        <f t="shared" si="19"/>
        <v>42705</v>
      </c>
      <c r="C1265">
        <v>3.3096999999999999</v>
      </c>
    </row>
    <row r="1266" spans="1:3" x14ac:dyDescent="0.35">
      <c r="A1266" s="12">
        <v>42717</v>
      </c>
      <c r="B1266" s="12">
        <f t="shared" si="19"/>
        <v>42705</v>
      </c>
      <c r="C1266">
        <v>3.3334000000000001</v>
      </c>
    </row>
    <row r="1267" spans="1:3" x14ac:dyDescent="0.35">
      <c r="A1267" s="12">
        <v>42716</v>
      </c>
      <c r="B1267" s="12">
        <f t="shared" si="19"/>
        <v>42705</v>
      </c>
      <c r="C1267">
        <v>3.3691</v>
      </c>
    </row>
    <row r="1268" spans="1:3" x14ac:dyDescent="0.35">
      <c r="A1268" s="12">
        <v>42713</v>
      </c>
      <c r="B1268" s="12">
        <f t="shared" si="19"/>
        <v>42705</v>
      </c>
      <c r="C1268">
        <v>3.3852000000000002</v>
      </c>
    </row>
    <row r="1269" spans="1:3" x14ac:dyDescent="0.35">
      <c r="A1269" s="12">
        <v>42712</v>
      </c>
      <c r="B1269" s="12">
        <f t="shared" si="19"/>
        <v>42705</v>
      </c>
      <c r="C1269">
        <v>3.4001999999999999</v>
      </c>
    </row>
    <row r="1270" spans="1:3" x14ac:dyDescent="0.35">
      <c r="A1270" s="12">
        <v>42711</v>
      </c>
      <c r="B1270" s="12">
        <f t="shared" si="19"/>
        <v>42705</v>
      </c>
      <c r="C1270">
        <v>3.3889</v>
      </c>
    </row>
    <row r="1271" spans="1:3" x14ac:dyDescent="0.35">
      <c r="A1271" s="12">
        <v>42710</v>
      </c>
      <c r="B1271" s="12">
        <f t="shared" si="19"/>
        <v>42705</v>
      </c>
      <c r="C1271">
        <v>3.4348000000000001</v>
      </c>
    </row>
    <row r="1272" spans="1:3" x14ac:dyDescent="0.35">
      <c r="A1272" s="12">
        <v>42709</v>
      </c>
      <c r="B1272" s="12">
        <f t="shared" si="19"/>
        <v>42705</v>
      </c>
      <c r="C1272">
        <v>3.4592000000000001</v>
      </c>
    </row>
    <row r="1273" spans="1:3" x14ac:dyDescent="0.35">
      <c r="A1273" s="12">
        <v>42706</v>
      </c>
      <c r="B1273" s="12">
        <f t="shared" si="19"/>
        <v>42705</v>
      </c>
      <c r="C1273">
        <v>3.4643999999999999</v>
      </c>
    </row>
    <row r="1274" spans="1:3" x14ac:dyDescent="0.35">
      <c r="A1274" s="12">
        <v>42705</v>
      </c>
      <c r="B1274" s="12">
        <f t="shared" si="19"/>
        <v>42705</v>
      </c>
      <c r="C1274">
        <v>3.4356</v>
      </c>
    </row>
    <row r="1275" spans="1:3" x14ac:dyDescent="0.35">
      <c r="A1275" s="12">
        <v>42704</v>
      </c>
      <c r="B1275" s="12">
        <f t="shared" si="19"/>
        <v>42675</v>
      </c>
      <c r="C1275">
        <v>3.3961000000000001</v>
      </c>
    </row>
    <row r="1276" spans="1:3" x14ac:dyDescent="0.35">
      <c r="A1276" s="12">
        <v>42703</v>
      </c>
      <c r="B1276" s="12">
        <f t="shared" si="19"/>
        <v>42675</v>
      </c>
      <c r="C1276">
        <v>3.4054000000000002</v>
      </c>
    </row>
    <row r="1277" spans="1:3" x14ac:dyDescent="0.35">
      <c r="A1277" s="12">
        <v>42702</v>
      </c>
      <c r="B1277" s="12">
        <f t="shared" si="19"/>
        <v>42675</v>
      </c>
      <c r="C1277">
        <v>3.399</v>
      </c>
    </row>
    <row r="1278" spans="1:3" x14ac:dyDescent="0.35">
      <c r="A1278" s="12">
        <v>42699</v>
      </c>
      <c r="B1278" s="12">
        <f t="shared" si="19"/>
        <v>42675</v>
      </c>
      <c r="C1278">
        <v>3.4272999999999998</v>
      </c>
    </row>
    <row r="1279" spans="1:3" x14ac:dyDescent="0.35">
      <c r="A1279" s="12">
        <v>42698</v>
      </c>
      <c r="B1279" s="12">
        <f t="shared" si="19"/>
        <v>42675</v>
      </c>
      <c r="C1279">
        <v>3.3980999999999999</v>
      </c>
    </row>
    <row r="1280" spans="1:3" x14ac:dyDescent="0.35">
      <c r="A1280" s="12">
        <v>42697</v>
      </c>
      <c r="B1280" s="12">
        <f t="shared" si="19"/>
        <v>42675</v>
      </c>
      <c r="C1280">
        <v>3.3921000000000001</v>
      </c>
    </row>
    <row r="1281" spans="1:3" x14ac:dyDescent="0.35">
      <c r="A1281" s="12">
        <v>42696</v>
      </c>
      <c r="B1281" s="12">
        <f t="shared" si="19"/>
        <v>42675</v>
      </c>
      <c r="C1281">
        <v>3.347</v>
      </c>
    </row>
    <row r="1282" spans="1:3" x14ac:dyDescent="0.35">
      <c r="A1282" s="12">
        <v>42695</v>
      </c>
      <c r="B1282" s="12">
        <f t="shared" si="19"/>
        <v>42675</v>
      </c>
      <c r="C1282">
        <v>3.3511000000000002</v>
      </c>
    </row>
    <row r="1283" spans="1:3" x14ac:dyDescent="0.35">
      <c r="A1283" s="12">
        <v>42692</v>
      </c>
      <c r="B1283" s="12">
        <f t="shared" ref="B1283:B1346" si="20">DATE(YEAR(A1283),MONTH(A1283),DAY(1))</f>
        <v>42675</v>
      </c>
      <c r="C1283">
        <v>3.3910999999999998</v>
      </c>
    </row>
    <row r="1284" spans="1:3" x14ac:dyDescent="0.35">
      <c r="A1284" s="12">
        <v>42691</v>
      </c>
      <c r="B1284" s="12">
        <f t="shared" si="20"/>
        <v>42675</v>
      </c>
      <c r="C1284">
        <v>3.4045999999999998</v>
      </c>
    </row>
    <row r="1285" spans="1:3" x14ac:dyDescent="0.35">
      <c r="A1285" s="12">
        <v>42690</v>
      </c>
      <c r="B1285" s="12">
        <f t="shared" si="20"/>
        <v>42675</v>
      </c>
      <c r="C1285">
        <v>3.4177</v>
      </c>
    </row>
    <row r="1286" spans="1:3" x14ac:dyDescent="0.35">
      <c r="A1286" s="12">
        <v>42688</v>
      </c>
      <c r="B1286" s="12">
        <f t="shared" si="20"/>
        <v>42675</v>
      </c>
      <c r="C1286">
        <v>3.444</v>
      </c>
    </row>
    <row r="1287" spans="1:3" x14ac:dyDescent="0.35">
      <c r="A1287" s="12">
        <v>42685</v>
      </c>
      <c r="B1287" s="12">
        <f t="shared" si="20"/>
        <v>42675</v>
      </c>
      <c r="C1287">
        <v>3.4371</v>
      </c>
    </row>
    <row r="1288" spans="1:3" x14ac:dyDescent="0.35">
      <c r="A1288" s="12">
        <v>42684</v>
      </c>
      <c r="B1288" s="12">
        <f t="shared" si="20"/>
        <v>42675</v>
      </c>
      <c r="C1288">
        <v>3.3098000000000001</v>
      </c>
    </row>
    <row r="1289" spans="1:3" x14ac:dyDescent="0.35">
      <c r="A1289" s="12">
        <v>42683</v>
      </c>
      <c r="B1289" s="12">
        <f t="shared" si="20"/>
        <v>42675</v>
      </c>
      <c r="C1289">
        <v>3.2252000000000001</v>
      </c>
    </row>
    <row r="1290" spans="1:3" x14ac:dyDescent="0.35">
      <c r="A1290" s="12">
        <v>42682</v>
      </c>
      <c r="B1290" s="12">
        <f t="shared" si="20"/>
        <v>42675</v>
      </c>
      <c r="C1290">
        <v>3.2018</v>
      </c>
    </row>
    <row r="1291" spans="1:3" x14ac:dyDescent="0.35">
      <c r="A1291" s="12">
        <v>42681</v>
      </c>
      <c r="B1291" s="12">
        <f t="shared" si="20"/>
        <v>42675</v>
      </c>
      <c r="C1291">
        <v>3.2018</v>
      </c>
    </row>
    <row r="1292" spans="1:3" x14ac:dyDescent="0.35">
      <c r="A1292" s="12">
        <v>42678</v>
      </c>
      <c r="B1292" s="12">
        <f t="shared" si="20"/>
        <v>42675</v>
      </c>
      <c r="C1292">
        <v>3.2443</v>
      </c>
    </row>
    <row r="1293" spans="1:3" x14ac:dyDescent="0.35">
      <c r="A1293" s="12">
        <v>42677</v>
      </c>
      <c r="B1293" s="12">
        <f t="shared" si="20"/>
        <v>42675</v>
      </c>
      <c r="C1293">
        <v>3.2303999999999999</v>
      </c>
    </row>
    <row r="1294" spans="1:3" x14ac:dyDescent="0.35">
      <c r="A1294" s="12">
        <v>42675</v>
      </c>
      <c r="B1294" s="12">
        <f t="shared" si="20"/>
        <v>42675</v>
      </c>
      <c r="C1294">
        <v>3.2046999999999999</v>
      </c>
    </row>
    <row r="1295" spans="1:3" x14ac:dyDescent="0.35">
      <c r="A1295" s="12">
        <v>42674</v>
      </c>
      <c r="B1295" s="12">
        <f t="shared" si="20"/>
        <v>42644</v>
      </c>
      <c r="C1295">
        <v>3.1804999999999999</v>
      </c>
    </row>
    <row r="1296" spans="1:3" x14ac:dyDescent="0.35">
      <c r="A1296" s="12">
        <v>42671</v>
      </c>
      <c r="B1296" s="12">
        <f t="shared" si="20"/>
        <v>42644</v>
      </c>
      <c r="C1296">
        <v>3.1808999999999998</v>
      </c>
    </row>
    <row r="1297" spans="1:3" x14ac:dyDescent="0.35">
      <c r="A1297" s="12">
        <v>42670</v>
      </c>
      <c r="B1297" s="12">
        <f t="shared" si="20"/>
        <v>42644</v>
      </c>
      <c r="C1297">
        <v>3.1423000000000001</v>
      </c>
    </row>
    <row r="1298" spans="1:3" x14ac:dyDescent="0.35">
      <c r="A1298" s="12">
        <v>42669</v>
      </c>
      <c r="B1298" s="12">
        <f t="shared" si="20"/>
        <v>42644</v>
      </c>
      <c r="C1298">
        <v>3.1213000000000002</v>
      </c>
    </row>
    <row r="1299" spans="1:3" x14ac:dyDescent="0.35">
      <c r="A1299" s="12">
        <v>42668</v>
      </c>
      <c r="B1299" s="12">
        <f t="shared" si="20"/>
        <v>42644</v>
      </c>
      <c r="C1299">
        <v>3.1187</v>
      </c>
    </row>
    <row r="1300" spans="1:3" x14ac:dyDescent="0.35">
      <c r="A1300" s="12">
        <v>42667</v>
      </c>
      <c r="B1300" s="12">
        <f t="shared" si="20"/>
        <v>42644</v>
      </c>
      <c r="C1300">
        <v>3.1305000000000001</v>
      </c>
    </row>
    <row r="1301" spans="1:3" x14ac:dyDescent="0.35">
      <c r="A1301" s="12">
        <v>42664</v>
      </c>
      <c r="B1301" s="12">
        <f t="shared" si="20"/>
        <v>42644</v>
      </c>
      <c r="C1301">
        <v>3.1587000000000001</v>
      </c>
    </row>
    <row r="1302" spans="1:3" x14ac:dyDescent="0.35">
      <c r="A1302" s="12">
        <v>42663</v>
      </c>
      <c r="B1302" s="12">
        <f t="shared" si="20"/>
        <v>42644</v>
      </c>
      <c r="C1302">
        <v>3.1598999999999999</v>
      </c>
    </row>
    <row r="1303" spans="1:3" x14ac:dyDescent="0.35">
      <c r="A1303" s="12">
        <v>42662</v>
      </c>
      <c r="B1303" s="12">
        <f t="shared" si="20"/>
        <v>42644</v>
      </c>
      <c r="C1303">
        <v>3.1793999999999998</v>
      </c>
    </row>
    <row r="1304" spans="1:3" x14ac:dyDescent="0.35">
      <c r="A1304" s="12">
        <v>42661</v>
      </c>
      <c r="B1304" s="12">
        <f t="shared" si="20"/>
        <v>42644</v>
      </c>
      <c r="C1304">
        <v>3.1867999999999999</v>
      </c>
    </row>
    <row r="1305" spans="1:3" x14ac:dyDescent="0.35">
      <c r="A1305" s="12">
        <v>42660</v>
      </c>
      <c r="B1305" s="12">
        <f t="shared" si="20"/>
        <v>42644</v>
      </c>
      <c r="C1305">
        <v>3.1957</v>
      </c>
    </row>
    <row r="1306" spans="1:3" x14ac:dyDescent="0.35">
      <c r="A1306" s="12">
        <v>42657</v>
      </c>
      <c r="B1306" s="12">
        <f t="shared" si="20"/>
        <v>42644</v>
      </c>
      <c r="C1306">
        <v>3.1858</v>
      </c>
    </row>
    <row r="1307" spans="1:3" x14ac:dyDescent="0.35">
      <c r="A1307" s="12">
        <v>42656</v>
      </c>
      <c r="B1307" s="12">
        <f t="shared" si="20"/>
        <v>42644</v>
      </c>
      <c r="C1307">
        <v>3.2081</v>
      </c>
    </row>
    <row r="1308" spans="1:3" x14ac:dyDescent="0.35">
      <c r="A1308" s="12">
        <v>42654</v>
      </c>
      <c r="B1308" s="12">
        <f t="shared" si="20"/>
        <v>42644</v>
      </c>
      <c r="C1308">
        <v>3.2130000000000001</v>
      </c>
    </row>
    <row r="1309" spans="1:3" x14ac:dyDescent="0.35">
      <c r="A1309" s="12">
        <v>42653</v>
      </c>
      <c r="B1309" s="12">
        <f t="shared" si="20"/>
        <v>42644</v>
      </c>
      <c r="C1309">
        <v>3.2119</v>
      </c>
    </row>
    <row r="1310" spans="1:3" x14ac:dyDescent="0.35">
      <c r="A1310" s="12">
        <v>42650</v>
      </c>
      <c r="B1310" s="12">
        <f t="shared" si="20"/>
        <v>42644</v>
      </c>
      <c r="C1310">
        <v>3.2128000000000001</v>
      </c>
    </row>
    <row r="1311" spans="1:3" x14ac:dyDescent="0.35">
      <c r="A1311" s="12">
        <v>42649</v>
      </c>
      <c r="B1311" s="12">
        <f t="shared" si="20"/>
        <v>42644</v>
      </c>
      <c r="C1311">
        <v>3.2303999999999999</v>
      </c>
    </row>
    <row r="1312" spans="1:3" x14ac:dyDescent="0.35">
      <c r="A1312" s="12">
        <v>42648</v>
      </c>
      <c r="B1312" s="12">
        <f t="shared" si="20"/>
        <v>42644</v>
      </c>
      <c r="C1312">
        <v>3.2353000000000001</v>
      </c>
    </row>
    <row r="1313" spans="1:3" x14ac:dyDescent="0.35">
      <c r="A1313" s="12">
        <v>42647</v>
      </c>
      <c r="B1313" s="12">
        <f t="shared" si="20"/>
        <v>42644</v>
      </c>
      <c r="C1313">
        <v>3.2197</v>
      </c>
    </row>
    <row r="1314" spans="1:3" x14ac:dyDescent="0.35">
      <c r="A1314" s="12">
        <v>42646</v>
      </c>
      <c r="B1314" s="12">
        <f t="shared" si="20"/>
        <v>42644</v>
      </c>
      <c r="C1314">
        <v>3.2332000000000001</v>
      </c>
    </row>
    <row r="1315" spans="1:3" x14ac:dyDescent="0.35">
      <c r="A1315" s="12">
        <v>42643</v>
      </c>
      <c r="B1315" s="12">
        <f t="shared" si="20"/>
        <v>42614</v>
      </c>
      <c r="C1315">
        <v>3.2456</v>
      </c>
    </row>
    <row r="1316" spans="1:3" x14ac:dyDescent="0.35">
      <c r="A1316" s="12">
        <v>42642</v>
      </c>
      <c r="B1316" s="12">
        <f t="shared" si="20"/>
        <v>42614</v>
      </c>
      <c r="C1316">
        <v>3.2229000000000001</v>
      </c>
    </row>
    <row r="1317" spans="1:3" x14ac:dyDescent="0.35">
      <c r="A1317" s="12">
        <v>42641</v>
      </c>
      <c r="B1317" s="12">
        <f t="shared" si="20"/>
        <v>42614</v>
      </c>
      <c r="C1317">
        <v>3.2469999999999999</v>
      </c>
    </row>
    <row r="1318" spans="1:3" x14ac:dyDescent="0.35">
      <c r="A1318" s="12">
        <v>42640</v>
      </c>
      <c r="B1318" s="12">
        <f t="shared" si="20"/>
        <v>42614</v>
      </c>
      <c r="C1318">
        <v>3.2351999999999999</v>
      </c>
    </row>
    <row r="1319" spans="1:3" x14ac:dyDescent="0.35">
      <c r="A1319" s="12">
        <v>42639</v>
      </c>
      <c r="B1319" s="12">
        <f t="shared" si="20"/>
        <v>42614</v>
      </c>
      <c r="C1319">
        <v>3.2393999999999998</v>
      </c>
    </row>
    <row r="1320" spans="1:3" x14ac:dyDescent="0.35">
      <c r="A1320" s="12">
        <v>42636</v>
      </c>
      <c r="B1320" s="12">
        <f t="shared" si="20"/>
        <v>42614</v>
      </c>
      <c r="C1320">
        <v>3.2235999999999998</v>
      </c>
    </row>
    <row r="1321" spans="1:3" x14ac:dyDescent="0.35">
      <c r="A1321" s="12">
        <v>42635</v>
      </c>
      <c r="B1321" s="12">
        <f t="shared" si="20"/>
        <v>42614</v>
      </c>
      <c r="C1321">
        <v>3.2008999999999999</v>
      </c>
    </row>
    <row r="1322" spans="1:3" x14ac:dyDescent="0.35">
      <c r="A1322" s="12">
        <v>42634</v>
      </c>
      <c r="B1322" s="12">
        <f t="shared" si="20"/>
        <v>42614</v>
      </c>
      <c r="C1322">
        <v>3.2402000000000002</v>
      </c>
    </row>
    <row r="1323" spans="1:3" x14ac:dyDescent="0.35">
      <c r="A1323" s="12">
        <v>42633</v>
      </c>
      <c r="B1323" s="12">
        <f t="shared" si="20"/>
        <v>42614</v>
      </c>
      <c r="C1323">
        <v>3.2534000000000001</v>
      </c>
    </row>
    <row r="1324" spans="1:3" x14ac:dyDescent="0.35">
      <c r="A1324" s="12">
        <v>42632</v>
      </c>
      <c r="B1324" s="12">
        <f t="shared" si="20"/>
        <v>42614</v>
      </c>
      <c r="C1324">
        <v>3.2629999999999999</v>
      </c>
    </row>
    <row r="1325" spans="1:3" x14ac:dyDescent="0.35">
      <c r="A1325" s="12">
        <v>42629</v>
      </c>
      <c r="B1325" s="12">
        <f t="shared" si="20"/>
        <v>42614</v>
      </c>
      <c r="C1325">
        <v>3.2997999999999998</v>
      </c>
    </row>
    <row r="1326" spans="1:3" x14ac:dyDescent="0.35">
      <c r="A1326" s="12">
        <v>42628</v>
      </c>
      <c r="B1326" s="12">
        <f t="shared" si="20"/>
        <v>42614</v>
      </c>
      <c r="C1326">
        <v>3.3319999999999999</v>
      </c>
    </row>
    <row r="1327" spans="1:3" x14ac:dyDescent="0.35">
      <c r="A1327" s="12">
        <v>42627</v>
      </c>
      <c r="B1327" s="12">
        <f t="shared" si="20"/>
        <v>42614</v>
      </c>
      <c r="C1327">
        <v>3.3256000000000001</v>
      </c>
    </row>
    <row r="1328" spans="1:3" x14ac:dyDescent="0.35">
      <c r="A1328" s="12">
        <v>42626</v>
      </c>
      <c r="B1328" s="12">
        <f t="shared" si="20"/>
        <v>42614</v>
      </c>
      <c r="C1328">
        <v>3.2966000000000002</v>
      </c>
    </row>
    <row r="1329" spans="1:3" x14ac:dyDescent="0.35">
      <c r="A1329" s="12">
        <v>42625</v>
      </c>
      <c r="B1329" s="12">
        <f t="shared" si="20"/>
        <v>42614</v>
      </c>
      <c r="C1329">
        <v>3.2848000000000002</v>
      </c>
    </row>
    <row r="1330" spans="1:3" x14ac:dyDescent="0.35">
      <c r="A1330" s="12">
        <v>42622</v>
      </c>
      <c r="B1330" s="12">
        <f t="shared" si="20"/>
        <v>42614</v>
      </c>
      <c r="C1330">
        <v>3.2631999999999999</v>
      </c>
    </row>
    <row r="1331" spans="1:3" x14ac:dyDescent="0.35">
      <c r="A1331" s="12">
        <v>42621</v>
      </c>
      <c r="B1331" s="12">
        <f t="shared" si="20"/>
        <v>42614</v>
      </c>
      <c r="C1331">
        <v>3.1928000000000001</v>
      </c>
    </row>
    <row r="1332" spans="1:3" x14ac:dyDescent="0.35">
      <c r="A1332" s="12">
        <v>42619</v>
      </c>
      <c r="B1332" s="12">
        <f t="shared" si="20"/>
        <v>42614</v>
      </c>
      <c r="C1332">
        <v>3.2446000000000002</v>
      </c>
    </row>
    <row r="1333" spans="1:3" x14ac:dyDescent="0.35">
      <c r="A1333" s="12">
        <v>42618</v>
      </c>
      <c r="B1333" s="12">
        <f t="shared" si="20"/>
        <v>42614</v>
      </c>
      <c r="C1333">
        <v>3.2715000000000001</v>
      </c>
    </row>
    <row r="1334" spans="1:3" x14ac:dyDescent="0.35">
      <c r="A1334" s="12">
        <v>42615</v>
      </c>
      <c r="B1334" s="12">
        <f t="shared" si="20"/>
        <v>42614</v>
      </c>
      <c r="C1334">
        <v>3.2425000000000002</v>
      </c>
    </row>
    <row r="1335" spans="1:3" x14ac:dyDescent="0.35">
      <c r="A1335" s="12">
        <v>42614</v>
      </c>
      <c r="B1335" s="12">
        <f t="shared" si="20"/>
        <v>42614</v>
      </c>
      <c r="C1335">
        <v>3.2465999999999999</v>
      </c>
    </row>
    <row r="1336" spans="1:3" x14ac:dyDescent="0.35">
      <c r="A1336" s="12">
        <v>42613</v>
      </c>
      <c r="B1336" s="12">
        <f t="shared" si="20"/>
        <v>42583</v>
      </c>
      <c r="C1336">
        <v>3.2397</v>
      </c>
    </row>
    <row r="1337" spans="1:3" x14ac:dyDescent="0.35">
      <c r="A1337" s="12">
        <v>42612</v>
      </c>
      <c r="B1337" s="12">
        <f t="shared" si="20"/>
        <v>42583</v>
      </c>
      <c r="C1337">
        <v>3.2519</v>
      </c>
    </row>
    <row r="1338" spans="1:3" x14ac:dyDescent="0.35">
      <c r="A1338" s="12">
        <v>42611</v>
      </c>
      <c r="B1338" s="12">
        <f t="shared" si="20"/>
        <v>42583</v>
      </c>
      <c r="C1338">
        <v>3.2606999999999999</v>
      </c>
    </row>
    <row r="1339" spans="1:3" x14ac:dyDescent="0.35">
      <c r="A1339" s="12">
        <v>42608</v>
      </c>
      <c r="B1339" s="12">
        <f t="shared" si="20"/>
        <v>42583</v>
      </c>
      <c r="C1339">
        <v>3.2147000000000001</v>
      </c>
    </row>
    <row r="1340" spans="1:3" x14ac:dyDescent="0.35">
      <c r="A1340" s="12">
        <v>42607</v>
      </c>
      <c r="B1340" s="12">
        <f t="shared" si="20"/>
        <v>42583</v>
      </c>
      <c r="C1340">
        <v>3.2313000000000001</v>
      </c>
    </row>
    <row r="1341" spans="1:3" x14ac:dyDescent="0.35">
      <c r="A1341" s="12">
        <v>42606</v>
      </c>
      <c r="B1341" s="12">
        <f t="shared" si="20"/>
        <v>42583</v>
      </c>
      <c r="C1341">
        <v>3.2366000000000001</v>
      </c>
    </row>
    <row r="1342" spans="1:3" x14ac:dyDescent="0.35">
      <c r="A1342" s="12">
        <v>42605</v>
      </c>
      <c r="B1342" s="12">
        <f t="shared" si="20"/>
        <v>42583</v>
      </c>
      <c r="C1342">
        <v>3.2046999999999999</v>
      </c>
    </row>
    <row r="1343" spans="1:3" x14ac:dyDescent="0.35">
      <c r="A1343" s="12">
        <v>42604</v>
      </c>
      <c r="B1343" s="12">
        <f t="shared" si="20"/>
        <v>42583</v>
      </c>
      <c r="C1343">
        <v>3.2157</v>
      </c>
    </row>
    <row r="1344" spans="1:3" x14ac:dyDescent="0.35">
      <c r="A1344" s="12">
        <v>42601</v>
      </c>
      <c r="B1344" s="12">
        <f t="shared" si="20"/>
        <v>42583</v>
      </c>
      <c r="C1344">
        <v>3.2261000000000002</v>
      </c>
    </row>
    <row r="1345" spans="1:3" x14ac:dyDescent="0.35">
      <c r="A1345" s="12">
        <v>42600</v>
      </c>
      <c r="B1345" s="12">
        <f t="shared" si="20"/>
        <v>42583</v>
      </c>
      <c r="C1345">
        <v>3.2208999999999999</v>
      </c>
    </row>
    <row r="1346" spans="1:3" x14ac:dyDescent="0.35">
      <c r="A1346" s="12">
        <v>42599</v>
      </c>
      <c r="B1346" s="12">
        <f t="shared" si="20"/>
        <v>42583</v>
      </c>
      <c r="C1346">
        <v>3.2242000000000002</v>
      </c>
    </row>
    <row r="1347" spans="1:3" x14ac:dyDescent="0.35">
      <c r="A1347" s="12">
        <v>42598</v>
      </c>
      <c r="B1347" s="12">
        <f t="shared" ref="B1347:B1410" si="21">DATE(YEAR(A1347),MONTH(A1347),DAY(1))</f>
        <v>42583</v>
      </c>
      <c r="C1347">
        <v>3.1743000000000001</v>
      </c>
    </row>
    <row r="1348" spans="1:3" x14ac:dyDescent="0.35">
      <c r="A1348" s="12">
        <v>42597</v>
      </c>
      <c r="B1348" s="12">
        <f t="shared" si="21"/>
        <v>42583</v>
      </c>
      <c r="C1348">
        <v>3.1665999999999999</v>
      </c>
    </row>
    <row r="1349" spans="1:3" x14ac:dyDescent="0.35">
      <c r="A1349" s="12">
        <v>42594</v>
      </c>
      <c r="B1349" s="12">
        <f t="shared" si="21"/>
        <v>42583</v>
      </c>
      <c r="C1349">
        <v>3.1596000000000002</v>
      </c>
    </row>
    <row r="1350" spans="1:3" x14ac:dyDescent="0.35">
      <c r="A1350" s="12">
        <v>42593</v>
      </c>
      <c r="B1350" s="12">
        <f t="shared" si="21"/>
        <v>42583</v>
      </c>
      <c r="C1350">
        <v>3.1358000000000001</v>
      </c>
    </row>
    <row r="1351" spans="1:3" x14ac:dyDescent="0.35">
      <c r="A1351" s="12">
        <v>42592</v>
      </c>
      <c r="B1351" s="12">
        <f t="shared" si="21"/>
        <v>42583</v>
      </c>
      <c r="C1351">
        <v>3.1295999999999999</v>
      </c>
    </row>
    <row r="1352" spans="1:3" x14ac:dyDescent="0.35">
      <c r="A1352" s="12">
        <v>42591</v>
      </c>
      <c r="B1352" s="12">
        <f t="shared" si="21"/>
        <v>42583</v>
      </c>
      <c r="C1352">
        <v>3.1497000000000002</v>
      </c>
    </row>
    <row r="1353" spans="1:3" x14ac:dyDescent="0.35">
      <c r="A1353" s="12">
        <v>42590</v>
      </c>
      <c r="B1353" s="12">
        <f t="shared" si="21"/>
        <v>42583</v>
      </c>
      <c r="C1353">
        <v>3.1764999999999999</v>
      </c>
    </row>
    <row r="1354" spans="1:3" x14ac:dyDescent="0.35">
      <c r="A1354" s="12">
        <v>42587</v>
      </c>
      <c r="B1354" s="12">
        <f t="shared" si="21"/>
        <v>42583</v>
      </c>
      <c r="C1354">
        <v>3.1852999999999998</v>
      </c>
    </row>
    <row r="1355" spans="1:3" x14ac:dyDescent="0.35">
      <c r="A1355" s="12">
        <v>42586</v>
      </c>
      <c r="B1355" s="12">
        <f t="shared" si="21"/>
        <v>42583</v>
      </c>
      <c r="C1355">
        <v>3.2176999999999998</v>
      </c>
    </row>
    <row r="1356" spans="1:3" x14ac:dyDescent="0.35">
      <c r="A1356" s="12">
        <v>42585</v>
      </c>
      <c r="B1356" s="12">
        <f t="shared" si="21"/>
        <v>42583</v>
      </c>
      <c r="C1356">
        <v>3.2726999999999999</v>
      </c>
    </row>
    <row r="1357" spans="1:3" x14ac:dyDescent="0.35">
      <c r="A1357" s="12">
        <v>42584</v>
      </c>
      <c r="B1357" s="12">
        <f t="shared" si="21"/>
        <v>42583</v>
      </c>
      <c r="C1357">
        <v>3.2484000000000002</v>
      </c>
    </row>
    <row r="1358" spans="1:3" x14ac:dyDescent="0.35">
      <c r="A1358" s="12">
        <v>42583</v>
      </c>
      <c r="B1358" s="12">
        <f t="shared" si="21"/>
        <v>42583</v>
      </c>
      <c r="C1358">
        <v>3.2656000000000001</v>
      </c>
    </row>
    <row r="1359" spans="1:3" x14ac:dyDescent="0.35">
      <c r="A1359" s="12">
        <v>42580</v>
      </c>
      <c r="B1359" s="12">
        <f t="shared" si="21"/>
        <v>42552</v>
      </c>
      <c r="C1359">
        <v>3.2383999999999999</v>
      </c>
    </row>
    <row r="1360" spans="1:3" x14ac:dyDescent="0.35">
      <c r="A1360" s="12">
        <v>42577</v>
      </c>
      <c r="B1360" s="12">
        <f t="shared" si="21"/>
        <v>42552</v>
      </c>
      <c r="C1360">
        <v>3.2784</v>
      </c>
    </row>
    <row r="1361" spans="1:3" x14ac:dyDescent="0.35">
      <c r="A1361" s="12">
        <v>42576</v>
      </c>
      <c r="B1361" s="12">
        <f t="shared" si="21"/>
        <v>42552</v>
      </c>
      <c r="C1361">
        <v>3.2812999999999999</v>
      </c>
    </row>
    <row r="1362" spans="1:3" x14ac:dyDescent="0.35">
      <c r="A1362" s="12">
        <v>42573</v>
      </c>
      <c r="B1362" s="12">
        <f t="shared" si="21"/>
        <v>42552</v>
      </c>
      <c r="C1362">
        <v>3.2848000000000002</v>
      </c>
    </row>
    <row r="1363" spans="1:3" x14ac:dyDescent="0.35">
      <c r="A1363" s="12">
        <v>42572</v>
      </c>
      <c r="B1363" s="12">
        <f t="shared" si="21"/>
        <v>42552</v>
      </c>
      <c r="C1363">
        <v>3.2578999999999998</v>
      </c>
    </row>
    <row r="1364" spans="1:3" x14ac:dyDescent="0.35">
      <c r="A1364" s="12">
        <v>42571</v>
      </c>
      <c r="B1364" s="12">
        <f t="shared" si="21"/>
        <v>42552</v>
      </c>
      <c r="C1364">
        <v>3.2505999999999999</v>
      </c>
    </row>
    <row r="1365" spans="1:3" x14ac:dyDescent="0.35">
      <c r="A1365" s="12">
        <v>42570</v>
      </c>
      <c r="B1365" s="12">
        <f t="shared" si="21"/>
        <v>42552</v>
      </c>
      <c r="C1365">
        <v>3.2795000000000001</v>
      </c>
    </row>
    <row r="1366" spans="1:3" x14ac:dyDescent="0.35">
      <c r="A1366" s="12">
        <v>42569</v>
      </c>
      <c r="B1366" s="12">
        <f t="shared" si="21"/>
        <v>42552</v>
      </c>
      <c r="C1366">
        <v>3.2627999999999999</v>
      </c>
    </row>
    <row r="1367" spans="1:3" x14ac:dyDescent="0.35">
      <c r="A1367" s="12">
        <v>42566</v>
      </c>
      <c r="B1367" s="12">
        <f t="shared" si="21"/>
        <v>42552</v>
      </c>
      <c r="C1367">
        <v>3.2650000000000001</v>
      </c>
    </row>
    <row r="1368" spans="1:3" x14ac:dyDescent="0.35">
      <c r="A1368" s="12">
        <v>42565</v>
      </c>
      <c r="B1368" s="12">
        <f t="shared" si="21"/>
        <v>42552</v>
      </c>
      <c r="C1368">
        <v>3.2305000000000001</v>
      </c>
    </row>
    <row r="1369" spans="1:3" x14ac:dyDescent="0.35">
      <c r="A1369" s="12">
        <v>42564</v>
      </c>
      <c r="B1369" s="12">
        <f t="shared" si="21"/>
        <v>42552</v>
      </c>
      <c r="C1369">
        <v>3.2890000000000001</v>
      </c>
    </row>
    <row r="1370" spans="1:3" x14ac:dyDescent="0.35">
      <c r="A1370" s="12">
        <v>42563</v>
      </c>
      <c r="B1370" s="12">
        <f t="shared" si="21"/>
        <v>42552</v>
      </c>
      <c r="C1370">
        <v>3.2744</v>
      </c>
    </row>
    <row r="1371" spans="1:3" x14ac:dyDescent="0.35">
      <c r="A1371" s="12">
        <v>42562</v>
      </c>
      <c r="B1371" s="12">
        <f t="shared" si="21"/>
        <v>42552</v>
      </c>
      <c r="C1371">
        <v>3.3025000000000002</v>
      </c>
    </row>
    <row r="1372" spans="1:3" x14ac:dyDescent="0.35">
      <c r="A1372" s="12">
        <v>42559</v>
      </c>
      <c r="B1372" s="12">
        <f t="shared" si="21"/>
        <v>42552</v>
      </c>
      <c r="C1372">
        <v>3.2961999999999998</v>
      </c>
    </row>
    <row r="1373" spans="1:3" x14ac:dyDescent="0.35">
      <c r="A1373" s="12">
        <v>42558</v>
      </c>
      <c r="B1373" s="12">
        <f t="shared" si="21"/>
        <v>42552</v>
      </c>
      <c r="C1373">
        <v>3.3382000000000001</v>
      </c>
    </row>
    <row r="1374" spans="1:3" x14ac:dyDescent="0.35">
      <c r="A1374" s="12">
        <v>42557</v>
      </c>
      <c r="B1374" s="12">
        <f t="shared" si="21"/>
        <v>42552</v>
      </c>
      <c r="C1374">
        <v>3.3235999999999999</v>
      </c>
    </row>
    <row r="1375" spans="1:3" x14ac:dyDescent="0.35">
      <c r="A1375" s="12">
        <v>42556</v>
      </c>
      <c r="B1375" s="12">
        <f t="shared" si="21"/>
        <v>42552</v>
      </c>
      <c r="C1375">
        <v>3.2898000000000001</v>
      </c>
    </row>
    <row r="1376" spans="1:3" x14ac:dyDescent="0.35">
      <c r="A1376" s="12">
        <v>42555</v>
      </c>
      <c r="B1376" s="12">
        <f t="shared" si="21"/>
        <v>42552</v>
      </c>
      <c r="C1376">
        <v>3.2473999999999998</v>
      </c>
    </row>
    <row r="1377" spans="1:3" x14ac:dyDescent="0.35">
      <c r="A1377" s="12">
        <v>42552</v>
      </c>
      <c r="B1377" s="12">
        <f t="shared" si="21"/>
        <v>42552</v>
      </c>
      <c r="C1377">
        <v>3.2292000000000001</v>
      </c>
    </row>
    <row r="1378" spans="1:3" x14ac:dyDescent="0.35">
      <c r="A1378" s="12">
        <v>42551</v>
      </c>
      <c r="B1378" s="12">
        <f t="shared" si="21"/>
        <v>42522</v>
      </c>
      <c r="C1378">
        <v>3.2092000000000001</v>
      </c>
    </row>
    <row r="1379" spans="1:3" x14ac:dyDescent="0.35">
      <c r="A1379" s="12">
        <v>42550</v>
      </c>
      <c r="B1379" s="12">
        <f t="shared" si="21"/>
        <v>42522</v>
      </c>
      <c r="C1379">
        <v>3.2429000000000001</v>
      </c>
    </row>
    <row r="1380" spans="1:3" x14ac:dyDescent="0.35">
      <c r="A1380" s="12">
        <v>42549</v>
      </c>
      <c r="B1380" s="12">
        <f t="shared" si="21"/>
        <v>42522</v>
      </c>
      <c r="C1380">
        <v>3.3260999999999998</v>
      </c>
    </row>
    <row r="1381" spans="1:3" x14ac:dyDescent="0.35">
      <c r="A1381" s="12">
        <v>42548</v>
      </c>
      <c r="B1381" s="12">
        <f t="shared" si="21"/>
        <v>42522</v>
      </c>
      <c r="C1381">
        <v>3.3927999999999998</v>
      </c>
    </row>
    <row r="1382" spans="1:3" x14ac:dyDescent="0.35">
      <c r="A1382" s="12">
        <v>42545</v>
      </c>
      <c r="B1382" s="12">
        <f t="shared" si="21"/>
        <v>42522</v>
      </c>
      <c r="C1382">
        <v>3.3765999999999998</v>
      </c>
    </row>
    <row r="1383" spans="1:3" x14ac:dyDescent="0.35">
      <c r="A1383" s="12">
        <v>42544</v>
      </c>
      <c r="B1383" s="12">
        <f t="shared" si="21"/>
        <v>42522</v>
      </c>
      <c r="C1383">
        <v>3.3527</v>
      </c>
    </row>
    <row r="1384" spans="1:3" x14ac:dyDescent="0.35">
      <c r="A1384" s="12">
        <v>42543</v>
      </c>
      <c r="B1384" s="12">
        <f t="shared" si="21"/>
        <v>42522</v>
      </c>
      <c r="C1384">
        <v>3.3877000000000002</v>
      </c>
    </row>
    <row r="1385" spans="1:3" x14ac:dyDescent="0.35">
      <c r="A1385" s="12">
        <v>42542</v>
      </c>
      <c r="B1385" s="12">
        <f t="shared" si="21"/>
        <v>42522</v>
      </c>
      <c r="C1385">
        <v>3.3891</v>
      </c>
    </row>
    <row r="1386" spans="1:3" x14ac:dyDescent="0.35">
      <c r="A1386" s="12">
        <v>42541</v>
      </c>
      <c r="B1386" s="12">
        <f t="shared" si="21"/>
        <v>42522</v>
      </c>
      <c r="C1386">
        <v>3.3828999999999998</v>
      </c>
    </row>
    <row r="1387" spans="1:3" x14ac:dyDescent="0.35">
      <c r="A1387" s="12">
        <v>42538</v>
      </c>
      <c r="B1387" s="12">
        <f t="shared" si="21"/>
        <v>42522</v>
      </c>
      <c r="C1387">
        <v>3.4365999999999999</v>
      </c>
    </row>
    <row r="1388" spans="1:3" x14ac:dyDescent="0.35">
      <c r="A1388" s="12">
        <v>42537</v>
      </c>
      <c r="B1388" s="12">
        <f t="shared" si="21"/>
        <v>42522</v>
      </c>
      <c r="C1388">
        <v>3.4897999999999998</v>
      </c>
    </row>
    <row r="1389" spans="1:3" x14ac:dyDescent="0.35">
      <c r="A1389" s="12">
        <v>42536</v>
      </c>
      <c r="B1389" s="12">
        <f t="shared" si="21"/>
        <v>42522</v>
      </c>
      <c r="C1389">
        <v>3.4762</v>
      </c>
    </row>
    <row r="1390" spans="1:3" x14ac:dyDescent="0.35">
      <c r="A1390" s="12">
        <v>42535</v>
      </c>
      <c r="B1390" s="12">
        <f t="shared" si="21"/>
        <v>42522</v>
      </c>
      <c r="C1390">
        <v>3.4832999999999998</v>
      </c>
    </row>
    <row r="1391" spans="1:3" x14ac:dyDescent="0.35">
      <c r="A1391" s="12">
        <v>42534</v>
      </c>
      <c r="B1391" s="12">
        <f t="shared" si="21"/>
        <v>42522</v>
      </c>
      <c r="C1391">
        <v>3.4527000000000001</v>
      </c>
    </row>
    <row r="1392" spans="1:3" x14ac:dyDescent="0.35">
      <c r="A1392" s="12">
        <v>42531</v>
      </c>
      <c r="B1392" s="12">
        <f t="shared" si="21"/>
        <v>42522</v>
      </c>
      <c r="C1392">
        <v>3.4255</v>
      </c>
    </row>
    <row r="1393" spans="1:3" x14ac:dyDescent="0.35">
      <c r="A1393" s="12">
        <v>42530</v>
      </c>
      <c r="B1393" s="12">
        <f t="shared" si="21"/>
        <v>42522</v>
      </c>
      <c r="C1393">
        <v>3.3811</v>
      </c>
    </row>
    <row r="1394" spans="1:3" x14ac:dyDescent="0.35">
      <c r="A1394" s="12">
        <v>42529</v>
      </c>
      <c r="B1394" s="12">
        <f t="shared" si="21"/>
        <v>42522</v>
      </c>
      <c r="C1394">
        <v>3.3892000000000002</v>
      </c>
    </row>
    <row r="1395" spans="1:3" x14ac:dyDescent="0.35">
      <c r="A1395" s="12">
        <v>42528</v>
      </c>
      <c r="B1395" s="12">
        <f t="shared" si="21"/>
        <v>42522</v>
      </c>
      <c r="C1395">
        <v>3.4739</v>
      </c>
    </row>
    <row r="1396" spans="1:3" x14ac:dyDescent="0.35">
      <c r="A1396" s="12">
        <v>42527</v>
      </c>
      <c r="B1396" s="12">
        <f t="shared" si="21"/>
        <v>42522</v>
      </c>
      <c r="C1396">
        <v>3.5091999999999999</v>
      </c>
    </row>
    <row r="1397" spans="1:3" x14ac:dyDescent="0.35">
      <c r="A1397" s="12">
        <v>42524</v>
      </c>
      <c r="B1397" s="12">
        <f t="shared" si="21"/>
        <v>42522</v>
      </c>
      <c r="C1397">
        <v>3.5402999999999998</v>
      </c>
    </row>
    <row r="1398" spans="1:3" x14ac:dyDescent="0.35">
      <c r="A1398" s="12">
        <v>42523</v>
      </c>
      <c r="B1398" s="12">
        <f t="shared" si="21"/>
        <v>42522</v>
      </c>
      <c r="C1398">
        <v>3.5954999999999999</v>
      </c>
    </row>
    <row r="1399" spans="1:3" x14ac:dyDescent="0.35">
      <c r="A1399" s="12">
        <v>42522</v>
      </c>
      <c r="B1399" s="12">
        <f t="shared" si="21"/>
        <v>42522</v>
      </c>
      <c r="C1399">
        <v>3.6120000000000001</v>
      </c>
    </row>
    <row r="1400" spans="1:3" x14ac:dyDescent="0.35">
      <c r="A1400" s="12">
        <v>42521</v>
      </c>
      <c r="B1400" s="12">
        <f t="shared" si="21"/>
        <v>42491</v>
      </c>
      <c r="C1400">
        <v>3.5945</v>
      </c>
    </row>
    <row r="1401" spans="1:3" x14ac:dyDescent="0.35">
      <c r="A1401" s="12">
        <v>42520</v>
      </c>
      <c r="B1401" s="12">
        <f t="shared" si="21"/>
        <v>42491</v>
      </c>
      <c r="C1401">
        <v>3.5991</v>
      </c>
    </row>
    <row r="1402" spans="1:3" x14ac:dyDescent="0.35">
      <c r="A1402" s="12">
        <v>42517</v>
      </c>
      <c r="B1402" s="12">
        <f t="shared" si="21"/>
        <v>42491</v>
      </c>
      <c r="C1402">
        <v>3.6162000000000001</v>
      </c>
    </row>
    <row r="1403" spans="1:3" x14ac:dyDescent="0.35">
      <c r="A1403" s="12">
        <v>42515</v>
      </c>
      <c r="B1403" s="12">
        <f t="shared" si="21"/>
        <v>42491</v>
      </c>
      <c r="C1403">
        <v>3.5798000000000001</v>
      </c>
    </row>
    <row r="1404" spans="1:3" x14ac:dyDescent="0.35">
      <c r="A1404" s="12">
        <v>42514</v>
      </c>
      <c r="B1404" s="12">
        <f t="shared" si="21"/>
        <v>42491</v>
      </c>
      <c r="C1404">
        <v>3.5485000000000002</v>
      </c>
    </row>
    <row r="1405" spans="1:3" x14ac:dyDescent="0.35">
      <c r="A1405" s="12">
        <v>42513</v>
      </c>
      <c r="B1405" s="12">
        <f t="shared" si="21"/>
        <v>42491</v>
      </c>
      <c r="C1405">
        <v>3.5653999999999999</v>
      </c>
    </row>
    <row r="1406" spans="1:3" x14ac:dyDescent="0.35">
      <c r="A1406" s="12">
        <v>42510</v>
      </c>
      <c r="B1406" s="12">
        <f t="shared" si="21"/>
        <v>42491</v>
      </c>
      <c r="C1406">
        <v>3.5413000000000001</v>
      </c>
    </row>
    <row r="1407" spans="1:3" x14ac:dyDescent="0.35">
      <c r="A1407" s="12">
        <v>42509</v>
      </c>
      <c r="B1407" s="12">
        <f t="shared" si="21"/>
        <v>42491</v>
      </c>
      <c r="C1407">
        <v>3.5996999999999999</v>
      </c>
    </row>
    <row r="1408" spans="1:3" x14ac:dyDescent="0.35">
      <c r="A1408" s="12">
        <v>42508</v>
      </c>
      <c r="B1408" s="12">
        <f t="shared" si="21"/>
        <v>42491</v>
      </c>
      <c r="C1408">
        <v>3.5362</v>
      </c>
    </row>
    <row r="1409" spans="1:3" x14ac:dyDescent="0.35">
      <c r="A1409" s="12">
        <v>42507</v>
      </c>
      <c r="B1409" s="12">
        <f t="shared" si="21"/>
        <v>42491</v>
      </c>
      <c r="C1409">
        <v>3.5030999999999999</v>
      </c>
    </row>
    <row r="1410" spans="1:3" x14ac:dyDescent="0.35">
      <c r="A1410" s="12">
        <v>42506</v>
      </c>
      <c r="B1410" s="12">
        <f t="shared" si="21"/>
        <v>42491</v>
      </c>
      <c r="C1410">
        <v>3.5028999999999999</v>
      </c>
    </row>
    <row r="1411" spans="1:3" x14ac:dyDescent="0.35">
      <c r="A1411" s="12">
        <v>42503</v>
      </c>
      <c r="B1411" s="12">
        <f t="shared" ref="B1411:B1474" si="22">DATE(YEAR(A1411),MONTH(A1411),DAY(1))</f>
        <v>42491</v>
      </c>
      <c r="C1411">
        <v>3.5034999999999998</v>
      </c>
    </row>
    <row r="1412" spans="1:3" x14ac:dyDescent="0.35">
      <c r="A1412" s="12">
        <v>42502</v>
      </c>
      <c r="B1412" s="12">
        <f t="shared" si="22"/>
        <v>42491</v>
      </c>
      <c r="C1412">
        <v>3.4870999999999999</v>
      </c>
    </row>
    <row r="1413" spans="1:3" x14ac:dyDescent="0.35">
      <c r="A1413" s="12">
        <v>42501</v>
      </c>
      <c r="B1413" s="12">
        <f t="shared" si="22"/>
        <v>42491</v>
      </c>
      <c r="C1413">
        <v>3.4639000000000002</v>
      </c>
    </row>
    <row r="1414" spans="1:3" x14ac:dyDescent="0.35">
      <c r="A1414" s="12">
        <v>42500</v>
      </c>
      <c r="B1414" s="12">
        <f t="shared" si="22"/>
        <v>42491</v>
      </c>
      <c r="C1414">
        <v>3.4765999999999999</v>
      </c>
    </row>
    <row r="1415" spans="1:3" x14ac:dyDescent="0.35">
      <c r="A1415" s="12">
        <v>42499</v>
      </c>
      <c r="B1415" s="12">
        <f t="shared" si="22"/>
        <v>42491</v>
      </c>
      <c r="C1415">
        <v>3.5379999999999998</v>
      </c>
    </row>
    <row r="1416" spans="1:3" x14ac:dyDescent="0.35">
      <c r="A1416" s="12">
        <v>42496</v>
      </c>
      <c r="B1416" s="12">
        <f t="shared" si="22"/>
        <v>42491</v>
      </c>
      <c r="C1416">
        <v>3.5356000000000001</v>
      </c>
    </row>
    <row r="1417" spans="1:3" x14ac:dyDescent="0.35">
      <c r="A1417" s="12">
        <v>42495</v>
      </c>
      <c r="B1417" s="12">
        <f t="shared" si="22"/>
        <v>42491</v>
      </c>
      <c r="C1417">
        <v>3.5289999999999999</v>
      </c>
    </row>
    <row r="1418" spans="1:3" x14ac:dyDescent="0.35">
      <c r="A1418" s="12">
        <v>42494</v>
      </c>
      <c r="B1418" s="12">
        <f t="shared" si="22"/>
        <v>42491</v>
      </c>
      <c r="C1418">
        <v>3.5390999999999999</v>
      </c>
    </row>
    <row r="1419" spans="1:3" x14ac:dyDescent="0.35">
      <c r="A1419" s="12">
        <v>42493</v>
      </c>
      <c r="B1419" s="12">
        <f t="shared" si="22"/>
        <v>42491</v>
      </c>
      <c r="C1419">
        <v>3.5543999999999998</v>
      </c>
    </row>
    <row r="1420" spans="1:3" x14ac:dyDescent="0.35">
      <c r="A1420" s="12">
        <v>42492</v>
      </c>
      <c r="B1420" s="12">
        <f t="shared" si="22"/>
        <v>42491</v>
      </c>
      <c r="C1420">
        <v>3.4984999999999999</v>
      </c>
    </row>
    <row r="1421" spans="1:3" x14ac:dyDescent="0.35">
      <c r="A1421" s="12">
        <v>42489</v>
      </c>
      <c r="B1421" s="12">
        <f t="shared" si="22"/>
        <v>42461</v>
      </c>
      <c r="C1421">
        <v>3.4502000000000002</v>
      </c>
    </row>
    <row r="1422" spans="1:3" x14ac:dyDescent="0.35">
      <c r="A1422" s="12">
        <v>42488</v>
      </c>
      <c r="B1422" s="12">
        <f t="shared" si="22"/>
        <v>42461</v>
      </c>
      <c r="C1422">
        <v>3.4986000000000002</v>
      </c>
    </row>
    <row r="1423" spans="1:3" x14ac:dyDescent="0.35">
      <c r="A1423" s="12">
        <v>42487</v>
      </c>
      <c r="B1423" s="12">
        <f t="shared" si="22"/>
        <v>42461</v>
      </c>
      <c r="C1423">
        <v>3.5289000000000001</v>
      </c>
    </row>
    <row r="1424" spans="1:3" x14ac:dyDescent="0.35">
      <c r="A1424" s="12">
        <v>42486</v>
      </c>
      <c r="B1424" s="12">
        <f t="shared" si="22"/>
        <v>42461</v>
      </c>
      <c r="C1424">
        <v>3.5293999999999999</v>
      </c>
    </row>
    <row r="1425" spans="1:3" x14ac:dyDescent="0.35">
      <c r="A1425" s="12">
        <v>42485</v>
      </c>
      <c r="B1425" s="12">
        <f t="shared" si="22"/>
        <v>42461</v>
      </c>
      <c r="C1425">
        <v>3.5466000000000002</v>
      </c>
    </row>
    <row r="1426" spans="1:3" x14ac:dyDescent="0.35">
      <c r="A1426" s="12">
        <v>42482</v>
      </c>
      <c r="B1426" s="12">
        <f t="shared" si="22"/>
        <v>42461</v>
      </c>
      <c r="C1426">
        <v>3.5823</v>
      </c>
    </row>
    <row r="1427" spans="1:3" x14ac:dyDescent="0.35">
      <c r="A1427" s="12">
        <v>42480</v>
      </c>
      <c r="B1427" s="12">
        <f t="shared" si="22"/>
        <v>42461</v>
      </c>
      <c r="C1427">
        <v>3.5497000000000001</v>
      </c>
    </row>
    <row r="1428" spans="1:3" x14ac:dyDescent="0.35">
      <c r="A1428" s="12">
        <v>42479</v>
      </c>
      <c r="B1428" s="12">
        <f t="shared" si="22"/>
        <v>42461</v>
      </c>
      <c r="C1428">
        <v>3.5531999999999999</v>
      </c>
    </row>
    <row r="1429" spans="1:3" x14ac:dyDescent="0.35">
      <c r="A1429" s="12">
        <v>42478</v>
      </c>
      <c r="B1429" s="12">
        <f t="shared" si="22"/>
        <v>42461</v>
      </c>
      <c r="C1429">
        <v>3.5897999999999999</v>
      </c>
    </row>
    <row r="1430" spans="1:3" x14ac:dyDescent="0.35">
      <c r="A1430" s="12">
        <v>42475</v>
      </c>
      <c r="B1430" s="12">
        <f t="shared" si="22"/>
        <v>42461</v>
      </c>
      <c r="C1430">
        <v>3.5270000000000001</v>
      </c>
    </row>
    <row r="1431" spans="1:3" x14ac:dyDescent="0.35">
      <c r="A1431" s="12">
        <v>42474</v>
      </c>
      <c r="B1431" s="12">
        <f t="shared" si="22"/>
        <v>42461</v>
      </c>
      <c r="C1431">
        <v>3.512</v>
      </c>
    </row>
    <row r="1432" spans="1:3" x14ac:dyDescent="0.35">
      <c r="A1432" s="12">
        <v>42473</v>
      </c>
      <c r="B1432" s="12">
        <f t="shared" si="22"/>
        <v>42461</v>
      </c>
      <c r="C1432">
        <v>3.5423</v>
      </c>
    </row>
    <row r="1433" spans="1:3" x14ac:dyDescent="0.35">
      <c r="A1433" s="12">
        <v>42472</v>
      </c>
      <c r="B1433" s="12">
        <f t="shared" si="22"/>
        <v>42461</v>
      </c>
      <c r="C1433">
        <v>3.54</v>
      </c>
    </row>
    <row r="1434" spans="1:3" x14ac:dyDescent="0.35">
      <c r="A1434" s="12">
        <v>42471</v>
      </c>
      <c r="B1434" s="12">
        <f t="shared" si="22"/>
        <v>42461</v>
      </c>
      <c r="C1434">
        <v>3.5278</v>
      </c>
    </row>
    <row r="1435" spans="1:3" x14ac:dyDescent="0.35">
      <c r="A1435" s="12">
        <v>42468</v>
      </c>
      <c r="B1435" s="12">
        <f t="shared" si="22"/>
        <v>42461</v>
      </c>
      <c r="C1435">
        <v>3.6379000000000001</v>
      </c>
    </row>
    <row r="1436" spans="1:3" x14ac:dyDescent="0.35">
      <c r="A1436" s="12">
        <v>42467</v>
      </c>
      <c r="B1436" s="12">
        <f t="shared" si="22"/>
        <v>42461</v>
      </c>
      <c r="C1436">
        <v>3.6915</v>
      </c>
    </row>
    <row r="1437" spans="1:3" x14ac:dyDescent="0.35">
      <c r="A1437" s="12">
        <v>42466</v>
      </c>
      <c r="B1437" s="12">
        <f t="shared" si="22"/>
        <v>42461</v>
      </c>
      <c r="C1437">
        <v>3.6743000000000001</v>
      </c>
    </row>
    <row r="1438" spans="1:3" x14ac:dyDescent="0.35">
      <c r="A1438" s="12">
        <v>42465</v>
      </c>
      <c r="B1438" s="12">
        <f t="shared" si="22"/>
        <v>42461</v>
      </c>
      <c r="C1438">
        <v>3.6575000000000002</v>
      </c>
    </row>
    <row r="1439" spans="1:3" x14ac:dyDescent="0.35">
      <c r="A1439" s="12">
        <v>42464</v>
      </c>
      <c r="B1439" s="12">
        <f t="shared" si="22"/>
        <v>42461</v>
      </c>
      <c r="C1439">
        <v>3.5865</v>
      </c>
    </row>
    <row r="1440" spans="1:3" x14ac:dyDescent="0.35">
      <c r="A1440" s="12">
        <v>42461</v>
      </c>
      <c r="B1440" s="12">
        <f t="shared" si="22"/>
        <v>42461</v>
      </c>
      <c r="C1440">
        <v>3.5792999999999999</v>
      </c>
    </row>
    <row r="1441" spans="1:3" x14ac:dyDescent="0.35">
      <c r="A1441" s="12">
        <v>42460</v>
      </c>
      <c r="B1441" s="12">
        <f t="shared" si="22"/>
        <v>42430</v>
      </c>
      <c r="C1441">
        <v>3.5583</v>
      </c>
    </row>
    <row r="1442" spans="1:3" x14ac:dyDescent="0.35">
      <c r="A1442" s="12">
        <v>42459</v>
      </c>
      <c r="B1442" s="12">
        <f t="shared" si="22"/>
        <v>42430</v>
      </c>
      <c r="C1442">
        <v>3.6110000000000002</v>
      </c>
    </row>
    <row r="1443" spans="1:3" x14ac:dyDescent="0.35">
      <c r="A1443" s="12">
        <v>42458</v>
      </c>
      <c r="B1443" s="12">
        <f t="shared" si="22"/>
        <v>42430</v>
      </c>
      <c r="C1443">
        <v>3.6680999999999999</v>
      </c>
    </row>
    <row r="1444" spans="1:3" x14ac:dyDescent="0.35">
      <c r="A1444" s="12">
        <v>42457</v>
      </c>
      <c r="B1444" s="12">
        <f t="shared" si="22"/>
        <v>42430</v>
      </c>
      <c r="C1444">
        <v>3.6400999999999999</v>
      </c>
    </row>
    <row r="1445" spans="1:3" x14ac:dyDescent="0.35">
      <c r="A1445" s="12">
        <v>42453</v>
      </c>
      <c r="B1445" s="12">
        <f t="shared" si="22"/>
        <v>42430</v>
      </c>
      <c r="C1445">
        <v>3.6941999999999999</v>
      </c>
    </row>
    <row r="1446" spans="1:3" x14ac:dyDescent="0.35">
      <c r="A1446" s="12">
        <v>42452</v>
      </c>
      <c r="B1446" s="12">
        <f t="shared" si="22"/>
        <v>42430</v>
      </c>
      <c r="C1446">
        <v>3.6524999999999999</v>
      </c>
    </row>
    <row r="1447" spans="1:3" x14ac:dyDescent="0.35">
      <c r="A1447" s="12">
        <v>42451</v>
      </c>
      <c r="B1447" s="12">
        <f t="shared" si="22"/>
        <v>42430</v>
      </c>
      <c r="C1447">
        <v>3.6067</v>
      </c>
    </row>
    <row r="1448" spans="1:3" x14ac:dyDescent="0.35">
      <c r="A1448" s="12">
        <v>42450</v>
      </c>
      <c r="B1448" s="12">
        <f t="shared" si="22"/>
        <v>42430</v>
      </c>
      <c r="C1448">
        <v>3.6223000000000001</v>
      </c>
    </row>
    <row r="1449" spans="1:3" x14ac:dyDescent="0.35">
      <c r="A1449" s="12">
        <v>42447</v>
      </c>
      <c r="B1449" s="12">
        <f t="shared" si="22"/>
        <v>42430</v>
      </c>
      <c r="C1449">
        <v>3.6139999999999999</v>
      </c>
    </row>
    <row r="1450" spans="1:3" x14ac:dyDescent="0.35">
      <c r="A1450" s="12">
        <v>42446</v>
      </c>
      <c r="B1450" s="12">
        <f t="shared" si="22"/>
        <v>42430</v>
      </c>
      <c r="C1450">
        <v>3.6438999999999999</v>
      </c>
    </row>
    <row r="1451" spans="1:3" x14ac:dyDescent="0.35">
      <c r="A1451" s="12">
        <v>42445</v>
      </c>
      <c r="B1451" s="12">
        <f t="shared" si="22"/>
        <v>42430</v>
      </c>
      <c r="C1451">
        <v>3.8073000000000001</v>
      </c>
    </row>
    <row r="1452" spans="1:3" x14ac:dyDescent="0.35">
      <c r="A1452" s="12">
        <v>42444</v>
      </c>
      <c r="B1452" s="12">
        <f t="shared" si="22"/>
        <v>42430</v>
      </c>
      <c r="C1452">
        <v>3.7109999999999999</v>
      </c>
    </row>
    <row r="1453" spans="1:3" x14ac:dyDescent="0.35">
      <c r="A1453" s="12">
        <v>42443</v>
      </c>
      <c r="B1453" s="12">
        <f t="shared" si="22"/>
        <v>42430</v>
      </c>
      <c r="C1453">
        <v>3.6232000000000002</v>
      </c>
    </row>
    <row r="1454" spans="1:3" x14ac:dyDescent="0.35">
      <c r="A1454" s="12">
        <v>42440</v>
      </c>
      <c r="B1454" s="12">
        <f t="shared" si="22"/>
        <v>42430</v>
      </c>
      <c r="C1454">
        <v>3.6265000000000001</v>
      </c>
    </row>
    <row r="1455" spans="1:3" x14ac:dyDescent="0.35">
      <c r="A1455" s="12">
        <v>42439</v>
      </c>
      <c r="B1455" s="12">
        <f t="shared" si="22"/>
        <v>42430</v>
      </c>
      <c r="C1455">
        <v>3.6694</v>
      </c>
    </row>
    <row r="1456" spans="1:3" x14ac:dyDescent="0.35">
      <c r="A1456" s="12">
        <v>42438</v>
      </c>
      <c r="B1456" s="12">
        <f t="shared" si="22"/>
        <v>42430</v>
      </c>
      <c r="C1456">
        <v>3.7031000000000001</v>
      </c>
    </row>
    <row r="1457" spans="1:3" x14ac:dyDescent="0.35">
      <c r="A1457" s="12">
        <v>42437</v>
      </c>
      <c r="B1457" s="12">
        <f t="shared" si="22"/>
        <v>42430</v>
      </c>
      <c r="C1457">
        <v>3.7806999999999999</v>
      </c>
    </row>
    <row r="1458" spans="1:3" x14ac:dyDescent="0.35">
      <c r="A1458" s="12">
        <v>42436</v>
      </c>
      <c r="B1458" s="12">
        <f t="shared" si="22"/>
        <v>42430</v>
      </c>
      <c r="C1458">
        <v>3.7707999999999999</v>
      </c>
    </row>
    <row r="1459" spans="1:3" x14ac:dyDescent="0.35">
      <c r="A1459" s="12">
        <v>42433</v>
      </c>
      <c r="B1459" s="12">
        <f t="shared" si="22"/>
        <v>42430</v>
      </c>
      <c r="C1459">
        <v>3.7181999999999999</v>
      </c>
    </row>
    <row r="1460" spans="1:3" x14ac:dyDescent="0.35">
      <c r="A1460" s="12">
        <v>42432</v>
      </c>
      <c r="B1460" s="12">
        <f t="shared" si="22"/>
        <v>42430</v>
      </c>
      <c r="C1460">
        <v>3.8498000000000001</v>
      </c>
    </row>
    <row r="1461" spans="1:3" x14ac:dyDescent="0.35">
      <c r="A1461" s="12">
        <v>42431</v>
      </c>
      <c r="B1461" s="12">
        <f t="shared" si="22"/>
        <v>42430</v>
      </c>
      <c r="C1461">
        <v>3.911</v>
      </c>
    </row>
    <row r="1462" spans="1:3" x14ac:dyDescent="0.35">
      <c r="A1462" s="12">
        <v>42430</v>
      </c>
      <c r="B1462" s="12">
        <f t="shared" si="22"/>
        <v>42430</v>
      </c>
      <c r="C1462">
        <v>3.9906999999999999</v>
      </c>
    </row>
    <row r="1463" spans="1:3" x14ac:dyDescent="0.35">
      <c r="A1463" s="12">
        <v>42429</v>
      </c>
      <c r="B1463" s="12">
        <f t="shared" si="22"/>
        <v>42401</v>
      </c>
      <c r="C1463">
        <v>3.9790000000000001</v>
      </c>
    </row>
    <row r="1464" spans="1:3" x14ac:dyDescent="0.35">
      <c r="A1464" s="12">
        <v>42426</v>
      </c>
      <c r="B1464" s="12">
        <f t="shared" si="22"/>
        <v>42401</v>
      </c>
      <c r="C1464">
        <v>3.9571000000000001</v>
      </c>
    </row>
    <row r="1465" spans="1:3" x14ac:dyDescent="0.35">
      <c r="A1465" s="12">
        <v>42425</v>
      </c>
      <c r="B1465" s="12">
        <f t="shared" si="22"/>
        <v>42401</v>
      </c>
      <c r="C1465">
        <v>3.9394</v>
      </c>
    </row>
    <row r="1466" spans="1:3" x14ac:dyDescent="0.35">
      <c r="A1466" s="12">
        <v>42424</v>
      </c>
      <c r="B1466" s="12">
        <f t="shared" si="22"/>
        <v>42401</v>
      </c>
      <c r="C1466">
        <v>3.9893999999999998</v>
      </c>
    </row>
    <row r="1467" spans="1:3" x14ac:dyDescent="0.35">
      <c r="A1467" s="12">
        <v>42423</v>
      </c>
      <c r="B1467" s="12">
        <f t="shared" si="22"/>
        <v>42401</v>
      </c>
      <c r="C1467">
        <v>3.9678</v>
      </c>
    </row>
    <row r="1468" spans="1:3" x14ac:dyDescent="0.35">
      <c r="A1468" s="12">
        <v>42422</v>
      </c>
      <c r="B1468" s="12">
        <f t="shared" si="22"/>
        <v>42401</v>
      </c>
      <c r="C1468">
        <v>3.9611999999999998</v>
      </c>
    </row>
    <row r="1469" spans="1:3" x14ac:dyDescent="0.35">
      <c r="A1469" s="12">
        <v>42419</v>
      </c>
      <c r="B1469" s="12">
        <f t="shared" si="22"/>
        <v>42401</v>
      </c>
      <c r="C1469">
        <v>4.0486000000000004</v>
      </c>
    </row>
    <row r="1470" spans="1:3" x14ac:dyDescent="0.35">
      <c r="A1470" s="12">
        <v>42418</v>
      </c>
      <c r="B1470" s="12">
        <f t="shared" si="22"/>
        <v>42401</v>
      </c>
      <c r="C1470">
        <v>4.0084</v>
      </c>
    </row>
    <row r="1471" spans="1:3" x14ac:dyDescent="0.35">
      <c r="A1471" s="12">
        <v>42417</v>
      </c>
      <c r="B1471" s="12">
        <f t="shared" si="22"/>
        <v>42401</v>
      </c>
      <c r="C1471">
        <v>4.0312000000000001</v>
      </c>
    </row>
    <row r="1472" spans="1:3" x14ac:dyDescent="0.35">
      <c r="A1472" s="12">
        <v>42416</v>
      </c>
      <c r="B1472" s="12">
        <f t="shared" si="22"/>
        <v>42401</v>
      </c>
      <c r="C1472">
        <v>4.0206999999999997</v>
      </c>
    </row>
    <row r="1473" spans="1:3" x14ac:dyDescent="0.35">
      <c r="A1473" s="12">
        <v>42415</v>
      </c>
      <c r="B1473" s="12">
        <f t="shared" si="22"/>
        <v>42401</v>
      </c>
      <c r="C1473">
        <v>3.9878999999999998</v>
      </c>
    </row>
    <row r="1474" spans="1:3" x14ac:dyDescent="0.35">
      <c r="A1474" s="12">
        <v>42412</v>
      </c>
      <c r="B1474" s="12">
        <f t="shared" si="22"/>
        <v>42401</v>
      </c>
      <c r="C1474">
        <v>3.9883999999999999</v>
      </c>
    </row>
    <row r="1475" spans="1:3" x14ac:dyDescent="0.35">
      <c r="A1475" s="12">
        <v>42411</v>
      </c>
      <c r="B1475" s="12">
        <f t="shared" ref="B1475:B1538" si="23">DATE(YEAR(A1475),MONTH(A1475),DAY(1))</f>
        <v>42401</v>
      </c>
      <c r="C1475">
        <v>3.9636</v>
      </c>
    </row>
    <row r="1476" spans="1:3" x14ac:dyDescent="0.35">
      <c r="A1476" s="12">
        <v>42410</v>
      </c>
      <c r="B1476" s="12">
        <f t="shared" si="23"/>
        <v>42401</v>
      </c>
      <c r="C1476">
        <v>3.9405999999999999</v>
      </c>
    </row>
    <row r="1477" spans="1:3" x14ac:dyDescent="0.35">
      <c r="A1477" s="12">
        <v>42405</v>
      </c>
      <c r="B1477" s="12">
        <f t="shared" si="23"/>
        <v>42401</v>
      </c>
      <c r="C1477">
        <v>3.8969</v>
      </c>
    </row>
    <row r="1478" spans="1:3" x14ac:dyDescent="0.35">
      <c r="A1478" s="12">
        <v>42404</v>
      </c>
      <c r="B1478" s="12">
        <f t="shared" si="23"/>
        <v>42401</v>
      </c>
      <c r="C1478">
        <v>3.8645999999999998</v>
      </c>
    </row>
    <row r="1479" spans="1:3" x14ac:dyDescent="0.35">
      <c r="A1479" s="12">
        <v>42403</v>
      </c>
      <c r="B1479" s="12">
        <f t="shared" si="23"/>
        <v>42401</v>
      </c>
      <c r="C1479">
        <v>3.9552</v>
      </c>
    </row>
    <row r="1480" spans="1:3" x14ac:dyDescent="0.35">
      <c r="A1480" s="12">
        <v>42402</v>
      </c>
      <c r="B1480" s="12">
        <f t="shared" si="23"/>
        <v>42401</v>
      </c>
      <c r="C1480">
        <v>3.9912999999999998</v>
      </c>
    </row>
    <row r="1481" spans="1:3" x14ac:dyDescent="0.35">
      <c r="A1481" s="12">
        <v>42401</v>
      </c>
      <c r="B1481" s="12">
        <f t="shared" si="23"/>
        <v>42401</v>
      </c>
      <c r="C1481">
        <v>3.9979</v>
      </c>
    </row>
    <row r="1482" spans="1:3" x14ac:dyDescent="0.35">
      <c r="A1482" s="12">
        <v>42398</v>
      </c>
      <c r="B1482" s="12">
        <f t="shared" si="23"/>
        <v>42370</v>
      </c>
      <c r="C1482">
        <v>4.0422000000000002</v>
      </c>
    </row>
    <row r="1483" spans="1:3" x14ac:dyDescent="0.35">
      <c r="A1483" s="12">
        <v>42397</v>
      </c>
      <c r="B1483" s="12">
        <f t="shared" si="23"/>
        <v>42370</v>
      </c>
      <c r="C1483">
        <v>4.0831999999999997</v>
      </c>
    </row>
    <row r="1484" spans="1:3" x14ac:dyDescent="0.35">
      <c r="A1484" s="12">
        <v>42396</v>
      </c>
      <c r="B1484" s="12">
        <f t="shared" si="23"/>
        <v>42370</v>
      </c>
      <c r="C1484">
        <v>4.0441000000000003</v>
      </c>
    </row>
    <row r="1485" spans="1:3" x14ac:dyDescent="0.35">
      <c r="A1485" s="12">
        <v>42395</v>
      </c>
      <c r="B1485" s="12">
        <f t="shared" si="23"/>
        <v>42370</v>
      </c>
      <c r="C1485">
        <v>4.0960999999999999</v>
      </c>
    </row>
    <row r="1486" spans="1:3" x14ac:dyDescent="0.35">
      <c r="A1486" s="12">
        <v>42394</v>
      </c>
      <c r="B1486" s="12">
        <f t="shared" si="23"/>
        <v>42370</v>
      </c>
      <c r="C1486">
        <v>4.0991</v>
      </c>
    </row>
    <row r="1487" spans="1:3" x14ac:dyDescent="0.35">
      <c r="A1487" s="12">
        <v>42391</v>
      </c>
      <c r="B1487" s="12">
        <f t="shared" si="23"/>
        <v>42370</v>
      </c>
      <c r="C1487">
        <v>4.1226000000000003</v>
      </c>
    </row>
    <row r="1488" spans="1:3" x14ac:dyDescent="0.35">
      <c r="A1488" s="12">
        <v>42390</v>
      </c>
      <c r="B1488" s="12">
        <f t="shared" si="23"/>
        <v>42370</v>
      </c>
      <c r="C1488">
        <v>4.1551999999999998</v>
      </c>
    </row>
    <row r="1489" spans="1:3" x14ac:dyDescent="0.35">
      <c r="A1489" s="12">
        <v>42389</v>
      </c>
      <c r="B1489" s="12">
        <f t="shared" si="23"/>
        <v>42370</v>
      </c>
      <c r="C1489">
        <v>4.0854999999999997</v>
      </c>
    </row>
    <row r="1490" spans="1:3" x14ac:dyDescent="0.35">
      <c r="A1490" s="12">
        <v>42388</v>
      </c>
      <c r="B1490" s="12">
        <f t="shared" si="23"/>
        <v>42370</v>
      </c>
      <c r="C1490">
        <v>4.0297000000000001</v>
      </c>
    </row>
    <row r="1491" spans="1:3" x14ac:dyDescent="0.35">
      <c r="A1491" s="12">
        <v>42387</v>
      </c>
      <c r="B1491" s="12">
        <f t="shared" si="23"/>
        <v>42370</v>
      </c>
      <c r="C1491">
        <v>4.0358000000000001</v>
      </c>
    </row>
    <row r="1492" spans="1:3" x14ac:dyDescent="0.35">
      <c r="A1492" s="12">
        <v>42384</v>
      </c>
      <c r="B1492" s="12">
        <f t="shared" si="23"/>
        <v>42370</v>
      </c>
      <c r="C1492">
        <v>4.0396000000000001</v>
      </c>
    </row>
    <row r="1493" spans="1:3" x14ac:dyDescent="0.35">
      <c r="A1493" s="12">
        <v>42383</v>
      </c>
      <c r="B1493" s="12">
        <f t="shared" si="23"/>
        <v>42370</v>
      </c>
      <c r="C1493">
        <v>4.0217000000000001</v>
      </c>
    </row>
    <row r="1494" spans="1:3" x14ac:dyDescent="0.35">
      <c r="A1494" s="12">
        <v>42382</v>
      </c>
      <c r="B1494" s="12">
        <f t="shared" si="23"/>
        <v>42370</v>
      </c>
      <c r="C1494">
        <v>3.9857</v>
      </c>
    </row>
    <row r="1495" spans="1:3" x14ac:dyDescent="0.35">
      <c r="A1495" s="12">
        <v>42381</v>
      </c>
      <c r="B1495" s="12">
        <f t="shared" si="23"/>
        <v>42370</v>
      </c>
      <c r="C1495">
        <v>4.0293000000000001</v>
      </c>
    </row>
    <row r="1496" spans="1:3" x14ac:dyDescent="0.35">
      <c r="A1496" s="12">
        <v>42380</v>
      </c>
      <c r="B1496" s="12">
        <f t="shared" si="23"/>
        <v>42370</v>
      </c>
      <c r="C1496">
        <v>4.0147000000000004</v>
      </c>
    </row>
    <row r="1497" spans="1:3" x14ac:dyDescent="0.35">
      <c r="A1497" s="12">
        <v>42377</v>
      </c>
      <c r="B1497" s="12">
        <f t="shared" si="23"/>
        <v>42370</v>
      </c>
      <c r="C1497">
        <v>4.0244</v>
      </c>
    </row>
    <row r="1498" spans="1:3" x14ac:dyDescent="0.35">
      <c r="A1498" s="12">
        <v>42376</v>
      </c>
      <c r="B1498" s="12">
        <f t="shared" si="23"/>
        <v>42370</v>
      </c>
      <c r="C1498">
        <v>4.0468999999999999</v>
      </c>
    </row>
    <row r="1499" spans="1:3" x14ac:dyDescent="0.35">
      <c r="A1499" s="12">
        <v>42375</v>
      </c>
      <c r="B1499" s="12">
        <f t="shared" si="23"/>
        <v>42370</v>
      </c>
      <c r="C1499">
        <v>4.0297000000000001</v>
      </c>
    </row>
    <row r="1500" spans="1:3" x14ac:dyDescent="0.35">
      <c r="A1500" s="12">
        <v>42374</v>
      </c>
      <c r="B1500" s="12">
        <f t="shared" si="23"/>
        <v>42370</v>
      </c>
      <c r="C1500">
        <v>4.0107999999999997</v>
      </c>
    </row>
    <row r="1501" spans="1:3" x14ac:dyDescent="0.35">
      <c r="A1501" s="12">
        <v>42373</v>
      </c>
      <c r="B1501" s="12">
        <f t="shared" si="23"/>
        <v>42370</v>
      </c>
      <c r="C1501">
        <v>4.0380000000000003</v>
      </c>
    </row>
    <row r="1502" spans="1:3" x14ac:dyDescent="0.35">
      <c r="A1502" s="12">
        <v>42369</v>
      </c>
      <c r="B1502" s="12">
        <f t="shared" si="23"/>
        <v>42339</v>
      </c>
      <c r="C1502">
        <v>3.9041999999999999</v>
      </c>
    </row>
    <row r="1503" spans="1:3" x14ac:dyDescent="0.35">
      <c r="A1503" s="12">
        <v>42368</v>
      </c>
      <c r="B1503" s="12">
        <f t="shared" si="23"/>
        <v>42339</v>
      </c>
      <c r="C1503">
        <v>3.9041999999999999</v>
      </c>
    </row>
    <row r="1504" spans="1:3" x14ac:dyDescent="0.35">
      <c r="A1504" s="12">
        <v>42367</v>
      </c>
      <c r="B1504" s="12">
        <f t="shared" si="23"/>
        <v>42339</v>
      </c>
      <c r="C1504">
        <v>3.8485999999999998</v>
      </c>
    </row>
    <row r="1505" spans="1:3" x14ac:dyDescent="0.35">
      <c r="A1505" s="12">
        <v>42366</v>
      </c>
      <c r="B1505" s="12">
        <f t="shared" si="23"/>
        <v>42339</v>
      </c>
      <c r="C1505">
        <v>3.9180000000000001</v>
      </c>
    </row>
    <row r="1506" spans="1:3" x14ac:dyDescent="0.35">
      <c r="A1506" s="12">
        <v>42362</v>
      </c>
      <c r="B1506" s="12">
        <f t="shared" si="23"/>
        <v>42339</v>
      </c>
      <c r="C1506">
        <v>3.9510999999999998</v>
      </c>
    </row>
    <row r="1507" spans="1:3" x14ac:dyDescent="0.35">
      <c r="A1507" s="12">
        <v>42361</v>
      </c>
      <c r="B1507" s="12">
        <f t="shared" si="23"/>
        <v>42339</v>
      </c>
      <c r="C1507">
        <v>3.9626000000000001</v>
      </c>
    </row>
    <row r="1508" spans="1:3" x14ac:dyDescent="0.35">
      <c r="A1508" s="12">
        <v>42360</v>
      </c>
      <c r="B1508" s="12">
        <f t="shared" si="23"/>
        <v>42339</v>
      </c>
      <c r="C1508">
        <v>3.9763999999999999</v>
      </c>
    </row>
    <row r="1509" spans="1:3" x14ac:dyDescent="0.35">
      <c r="A1509" s="12">
        <v>42359</v>
      </c>
      <c r="B1509" s="12">
        <f t="shared" si="23"/>
        <v>42339</v>
      </c>
      <c r="C1509">
        <v>3.9824999999999999</v>
      </c>
    </row>
    <row r="1510" spans="1:3" x14ac:dyDescent="0.35">
      <c r="A1510" s="12">
        <v>42356</v>
      </c>
      <c r="B1510" s="12">
        <f t="shared" si="23"/>
        <v>42339</v>
      </c>
      <c r="C1510">
        <v>3.9056000000000002</v>
      </c>
    </row>
    <row r="1511" spans="1:3" x14ac:dyDescent="0.35">
      <c r="A1511" s="12">
        <v>42355</v>
      </c>
      <c r="B1511" s="12">
        <f t="shared" si="23"/>
        <v>42339</v>
      </c>
      <c r="C1511">
        <v>3.8923000000000001</v>
      </c>
    </row>
    <row r="1512" spans="1:3" x14ac:dyDescent="0.35">
      <c r="A1512" s="12">
        <v>42354</v>
      </c>
      <c r="B1512" s="12">
        <f t="shared" si="23"/>
        <v>42339</v>
      </c>
      <c r="C1512">
        <v>3.9350999999999998</v>
      </c>
    </row>
    <row r="1513" spans="1:3" x14ac:dyDescent="0.35">
      <c r="A1513" s="12">
        <v>42353</v>
      </c>
      <c r="B1513" s="12">
        <f t="shared" si="23"/>
        <v>42339</v>
      </c>
      <c r="C1513">
        <v>3.8696999999999999</v>
      </c>
    </row>
    <row r="1514" spans="1:3" x14ac:dyDescent="0.35">
      <c r="A1514" s="12">
        <v>42352</v>
      </c>
      <c r="B1514" s="12">
        <f t="shared" si="23"/>
        <v>42339</v>
      </c>
      <c r="C1514">
        <v>3.9016999999999999</v>
      </c>
    </row>
    <row r="1515" spans="1:3" x14ac:dyDescent="0.35">
      <c r="A1515" s="12">
        <v>42349</v>
      </c>
      <c r="B1515" s="12">
        <f t="shared" si="23"/>
        <v>42339</v>
      </c>
      <c r="C1515">
        <v>3.8540999999999999</v>
      </c>
    </row>
    <row r="1516" spans="1:3" x14ac:dyDescent="0.35">
      <c r="A1516" s="12">
        <v>42348</v>
      </c>
      <c r="B1516" s="12">
        <f t="shared" si="23"/>
        <v>42339</v>
      </c>
      <c r="C1516">
        <v>3.7679</v>
      </c>
    </row>
    <row r="1517" spans="1:3" x14ac:dyDescent="0.35">
      <c r="A1517" s="12">
        <v>42347</v>
      </c>
      <c r="B1517" s="12">
        <f t="shared" si="23"/>
        <v>42339</v>
      </c>
      <c r="C1517">
        <v>3.7572999999999999</v>
      </c>
    </row>
    <row r="1518" spans="1:3" x14ac:dyDescent="0.35">
      <c r="A1518" s="12">
        <v>42346</v>
      </c>
      <c r="B1518" s="12">
        <f t="shared" si="23"/>
        <v>42339</v>
      </c>
      <c r="C1518">
        <v>3.7915000000000001</v>
      </c>
    </row>
    <row r="1519" spans="1:3" x14ac:dyDescent="0.35">
      <c r="A1519" s="12">
        <v>42345</v>
      </c>
      <c r="B1519" s="12">
        <f t="shared" si="23"/>
        <v>42339</v>
      </c>
      <c r="C1519">
        <v>3.7469999999999999</v>
      </c>
    </row>
    <row r="1520" spans="1:3" x14ac:dyDescent="0.35">
      <c r="A1520" s="12">
        <v>42342</v>
      </c>
      <c r="B1520" s="12">
        <f t="shared" si="23"/>
        <v>42339</v>
      </c>
      <c r="C1520">
        <v>3.7568999999999999</v>
      </c>
    </row>
    <row r="1521" spans="1:3" x14ac:dyDescent="0.35">
      <c r="A1521" s="12">
        <v>42341</v>
      </c>
      <c r="B1521" s="12">
        <f t="shared" si="23"/>
        <v>42339</v>
      </c>
      <c r="C1521">
        <v>3.7964000000000002</v>
      </c>
    </row>
    <row r="1522" spans="1:3" x14ac:dyDescent="0.35">
      <c r="A1522" s="12">
        <v>42340</v>
      </c>
      <c r="B1522" s="12">
        <f t="shared" si="23"/>
        <v>42339</v>
      </c>
      <c r="C1522">
        <v>3.8538999999999999</v>
      </c>
    </row>
    <row r="1523" spans="1:3" x14ac:dyDescent="0.35">
      <c r="A1523" s="12">
        <v>42339</v>
      </c>
      <c r="B1523" s="12">
        <f t="shared" si="23"/>
        <v>42339</v>
      </c>
      <c r="C1523">
        <v>3.8738999999999999</v>
      </c>
    </row>
    <row r="1524" spans="1:3" x14ac:dyDescent="0.35">
      <c r="A1524" s="12">
        <v>42338</v>
      </c>
      <c r="B1524" s="12">
        <f t="shared" si="23"/>
        <v>42309</v>
      </c>
      <c r="C1524">
        <v>3.8498999999999999</v>
      </c>
    </row>
    <row r="1525" spans="1:3" x14ac:dyDescent="0.35">
      <c r="A1525" s="12">
        <v>42335</v>
      </c>
      <c r="B1525" s="12">
        <f t="shared" si="23"/>
        <v>42309</v>
      </c>
      <c r="C1525">
        <v>3.7391999999999999</v>
      </c>
    </row>
    <row r="1526" spans="1:3" x14ac:dyDescent="0.35">
      <c r="A1526" s="12">
        <v>42334</v>
      </c>
      <c r="B1526" s="12">
        <f t="shared" si="23"/>
        <v>42309</v>
      </c>
      <c r="C1526">
        <v>3.76</v>
      </c>
    </row>
    <row r="1527" spans="1:3" x14ac:dyDescent="0.35">
      <c r="A1527" s="12">
        <v>42333</v>
      </c>
      <c r="B1527" s="12">
        <f t="shared" si="23"/>
        <v>42309</v>
      </c>
      <c r="C1527">
        <v>3.7682000000000002</v>
      </c>
    </row>
    <row r="1528" spans="1:3" x14ac:dyDescent="0.35">
      <c r="A1528" s="12">
        <v>42332</v>
      </c>
      <c r="B1528" s="12">
        <f t="shared" si="23"/>
        <v>42309</v>
      </c>
      <c r="C1528">
        <v>3.7075</v>
      </c>
    </row>
    <row r="1529" spans="1:3" x14ac:dyDescent="0.35">
      <c r="A1529" s="12">
        <v>42331</v>
      </c>
      <c r="B1529" s="12">
        <f t="shared" si="23"/>
        <v>42309</v>
      </c>
      <c r="C1529">
        <v>3.7223999999999999</v>
      </c>
    </row>
    <row r="1530" spans="1:3" x14ac:dyDescent="0.35">
      <c r="A1530" s="12">
        <v>42328</v>
      </c>
      <c r="B1530" s="12">
        <f t="shared" si="23"/>
        <v>42309</v>
      </c>
      <c r="C1530">
        <v>3.7</v>
      </c>
    </row>
    <row r="1531" spans="1:3" x14ac:dyDescent="0.35">
      <c r="A1531" s="12">
        <v>42327</v>
      </c>
      <c r="B1531" s="12">
        <f t="shared" si="23"/>
        <v>42309</v>
      </c>
      <c r="C1531">
        <v>3.7435</v>
      </c>
    </row>
    <row r="1532" spans="1:3" x14ac:dyDescent="0.35">
      <c r="A1532" s="12">
        <v>42326</v>
      </c>
      <c r="B1532" s="12">
        <f t="shared" si="23"/>
        <v>42309</v>
      </c>
      <c r="C1532">
        <v>3.7915000000000001</v>
      </c>
    </row>
    <row r="1533" spans="1:3" x14ac:dyDescent="0.35">
      <c r="A1533" s="12">
        <v>42325</v>
      </c>
      <c r="B1533" s="12">
        <f t="shared" si="23"/>
        <v>42309</v>
      </c>
      <c r="C1533">
        <v>3.8045</v>
      </c>
    </row>
    <row r="1534" spans="1:3" x14ac:dyDescent="0.35">
      <c r="A1534" s="12">
        <v>42324</v>
      </c>
      <c r="B1534" s="12">
        <f t="shared" si="23"/>
        <v>42309</v>
      </c>
      <c r="C1534">
        <v>3.8330000000000002</v>
      </c>
    </row>
    <row r="1535" spans="1:3" x14ac:dyDescent="0.35">
      <c r="A1535" s="12">
        <v>42321</v>
      </c>
      <c r="B1535" s="12">
        <f t="shared" si="23"/>
        <v>42309</v>
      </c>
      <c r="C1535">
        <v>3.8016000000000001</v>
      </c>
    </row>
    <row r="1536" spans="1:3" x14ac:dyDescent="0.35">
      <c r="A1536" s="12">
        <v>42320</v>
      </c>
      <c r="B1536" s="12">
        <f t="shared" si="23"/>
        <v>42309</v>
      </c>
      <c r="C1536">
        <v>3.7989999999999999</v>
      </c>
    </row>
    <row r="1537" spans="1:3" x14ac:dyDescent="0.35">
      <c r="A1537" s="12">
        <v>42319</v>
      </c>
      <c r="B1537" s="12">
        <f t="shared" si="23"/>
        <v>42309</v>
      </c>
      <c r="C1537">
        <v>3.7320000000000002</v>
      </c>
    </row>
    <row r="1538" spans="1:3" x14ac:dyDescent="0.35">
      <c r="A1538" s="12">
        <v>42318</v>
      </c>
      <c r="B1538" s="12">
        <f t="shared" si="23"/>
        <v>42309</v>
      </c>
      <c r="C1538">
        <v>3.7974999999999999</v>
      </c>
    </row>
    <row r="1539" spans="1:3" x14ac:dyDescent="0.35">
      <c r="A1539" s="12">
        <v>42317</v>
      </c>
      <c r="B1539" s="12">
        <f t="shared" ref="B1539:B1602" si="24">DATE(YEAR(A1539),MONTH(A1539),DAY(1))</f>
        <v>42309</v>
      </c>
      <c r="C1539">
        <v>3.7921999999999998</v>
      </c>
    </row>
    <row r="1540" spans="1:3" x14ac:dyDescent="0.35">
      <c r="A1540" s="12">
        <v>42314</v>
      </c>
      <c r="B1540" s="12">
        <f t="shared" si="24"/>
        <v>42309</v>
      </c>
      <c r="C1540">
        <v>3.8052999999999999</v>
      </c>
    </row>
    <row r="1541" spans="1:3" x14ac:dyDescent="0.35">
      <c r="A1541" s="12">
        <v>42313</v>
      </c>
      <c r="B1541" s="12">
        <f t="shared" si="24"/>
        <v>42309</v>
      </c>
      <c r="C1541">
        <v>3.7887</v>
      </c>
    </row>
    <row r="1542" spans="1:3" x14ac:dyDescent="0.35">
      <c r="A1542" s="12">
        <v>42312</v>
      </c>
      <c r="B1542" s="12">
        <f t="shared" si="24"/>
        <v>42309</v>
      </c>
      <c r="C1542">
        <v>3.7679999999999998</v>
      </c>
    </row>
    <row r="1543" spans="1:3" x14ac:dyDescent="0.35">
      <c r="A1543" s="12">
        <v>42311</v>
      </c>
      <c r="B1543" s="12">
        <f t="shared" si="24"/>
        <v>42309</v>
      </c>
      <c r="C1543">
        <v>3.8119999999999998</v>
      </c>
    </row>
    <row r="1544" spans="1:3" x14ac:dyDescent="0.35">
      <c r="A1544" s="12">
        <v>42307</v>
      </c>
      <c r="B1544" s="12">
        <f t="shared" si="24"/>
        <v>42278</v>
      </c>
      <c r="C1544">
        <v>3.8582000000000001</v>
      </c>
    </row>
    <row r="1545" spans="1:3" x14ac:dyDescent="0.35">
      <c r="A1545" s="12">
        <v>42306</v>
      </c>
      <c r="B1545" s="12">
        <f t="shared" si="24"/>
        <v>42278</v>
      </c>
      <c r="C1545">
        <v>3.9321000000000002</v>
      </c>
    </row>
    <row r="1546" spans="1:3" x14ac:dyDescent="0.35">
      <c r="A1546" s="12">
        <v>42305</v>
      </c>
      <c r="B1546" s="12">
        <f t="shared" si="24"/>
        <v>42278</v>
      </c>
      <c r="C1546">
        <v>3.8791000000000002</v>
      </c>
    </row>
    <row r="1547" spans="1:3" x14ac:dyDescent="0.35">
      <c r="A1547" s="12">
        <v>42304</v>
      </c>
      <c r="B1547" s="12">
        <f t="shared" si="24"/>
        <v>42278</v>
      </c>
      <c r="C1547">
        <v>3.9108000000000001</v>
      </c>
    </row>
    <row r="1548" spans="1:3" x14ac:dyDescent="0.35">
      <c r="A1548" s="12">
        <v>42303</v>
      </c>
      <c r="B1548" s="12">
        <f t="shared" si="24"/>
        <v>42278</v>
      </c>
      <c r="C1548">
        <v>3.8574999999999999</v>
      </c>
    </row>
    <row r="1549" spans="1:3" x14ac:dyDescent="0.35">
      <c r="A1549" s="12">
        <v>42300</v>
      </c>
      <c r="B1549" s="12">
        <f t="shared" si="24"/>
        <v>42278</v>
      </c>
      <c r="C1549">
        <v>3.8982000000000001</v>
      </c>
    </row>
    <row r="1550" spans="1:3" x14ac:dyDescent="0.35">
      <c r="A1550" s="12">
        <v>42299</v>
      </c>
      <c r="B1550" s="12">
        <f t="shared" si="24"/>
        <v>42278</v>
      </c>
      <c r="C1550">
        <v>3.9354</v>
      </c>
    </row>
    <row r="1551" spans="1:3" x14ac:dyDescent="0.35">
      <c r="A1551" s="12">
        <v>42298</v>
      </c>
      <c r="B1551" s="12">
        <f t="shared" si="24"/>
        <v>42278</v>
      </c>
      <c r="C1551">
        <v>3.9380000000000002</v>
      </c>
    </row>
    <row r="1552" spans="1:3" x14ac:dyDescent="0.35">
      <c r="A1552" s="12">
        <v>42297</v>
      </c>
      <c r="B1552" s="12">
        <f t="shared" si="24"/>
        <v>42278</v>
      </c>
      <c r="C1552">
        <v>3.8650000000000002</v>
      </c>
    </row>
    <row r="1553" spans="1:3" x14ac:dyDescent="0.35">
      <c r="A1553" s="12">
        <v>42296</v>
      </c>
      <c r="B1553" s="12">
        <f t="shared" si="24"/>
        <v>42278</v>
      </c>
      <c r="C1553">
        <v>3.9009</v>
      </c>
    </row>
    <row r="1554" spans="1:3" x14ac:dyDescent="0.35">
      <c r="A1554" s="12">
        <v>42293</v>
      </c>
      <c r="B1554" s="12">
        <f t="shared" si="24"/>
        <v>42278</v>
      </c>
      <c r="C1554">
        <v>3.8431999999999999</v>
      </c>
    </row>
    <row r="1555" spans="1:3" x14ac:dyDescent="0.35">
      <c r="A1555" s="12">
        <v>42292</v>
      </c>
      <c r="B1555" s="12">
        <f t="shared" si="24"/>
        <v>42278</v>
      </c>
      <c r="C1555">
        <v>3.8336999999999999</v>
      </c>
    </row>
    <row r="1556" spans="1:3" x14ac:dyDescent="0.35">
      <c r="A1556" s="12">
        <v>42291</v>
      </c>
      <c r="B1556" s="12">
        <f t="shared" si="24"/>
        <v>42278</v>
      </c>
      <c r="C1556">
        <v>3.8500999999999999</v>
      </c>
    </row>
    <row r="1557" spans="1:3" x14ac:dyDescent="0.35">
      <c r="A1557" s="12">
        <v>42290</v>
      </c>
      <c r="B1557" s="12">
        <f t="shared" si="24"/>
        <v>42278</v>
      </c>
      <c r="C1557">
        <v>3.8243</v>
      </c>
    </row>
    <row r="1558" spans="1:3" x14ac:dyDescent="0.35">
      <c r="A1558" s="12">
        <v>42286</v>
      </c>
      <c r="B1558" s="12">
        <f t="shared" si="24"/>
        <v>42278</v>
      </c>
      <c r="C1558">
        <v>3.738</v>
      </c>
    </row>
    <row r="1559" spans="1:3" x14ac:dyDescent="0.35">
      <c r="A1559" s="12">
        <v>42285</v>
      </c>
      <c r="B1559" s="12">
        <f t="shared" si="24"/>
        <v>42278</v>
      </c>
      <c r="C1559">
        <v>3.8511000000000002</v>
      </c>
    </row>
    <row r="1560" spans="1:3" x14ac:dyDescent="0.35">
      <c r="A1560" s="12">
        <v>42284</v>
      </c>
      <c r="B1560" s="12">
        <f t="shared" si="24"/>
        <v>42278</v>
      </c>
      <c r="C1560">
        <v>3.8052999999999999</v>
      </c>
    </row>
    <row r="1561" spans="1:3" x14ac:dyDescent="0.35">
      <c r="A1561" s="12">
        <v>42283</v>
      </c>
      <c r="B1561" s="12">
        <f t="shared" si="24"/>
        <v>42278</v>
      </c>
      <c r="C1561">
        <v>3.8561000000000001</v>
      </c>
    </row>
    <row r="1562" spans="1:3" x14ac:dyDescent="0.35">
      <c r="A1562" s="12">
        <v>42282</v>
      </c>
      <c r="B1562" s="12">
        <f t="shared" si="24"/>
        <v>42278</v>
      </c>
      <c r="C1562">
        <v>3.9135</v>
      </c>
    </row>
    <row r="1563" spans="1:3" x14ac:dyDescent="0.35">
      <c r="A1563" s="12">
        <v>42279</v>
      </c>
      <c r="B1563" s="12">
        <f t="shared" si="24"/>
        <v>42278</v>
      </c>
      <c r="C1563">
        <v>4.0003000000000002</v>
      </c>
    </row>
    <row r="1564" spans="1:3" x14ac:dyDescent="0.35">
      <c r="A1564" s="12">
        <v>42278</v>
      </c>
      <c r="B1564" s="12">
        <f t="shared" si="24"/>
        <v>42278</v>
      </c>
      <c r="C1564">
        <v>3.9788000000000001</v>
      </c>
    </row>
    <row r="1565" spans="1:3" x14ac:dyDescent="0.35">
      <c r="A1565" s="12">
        <v>42277</v>
      </c>
      <c r="B1565" s="12">
        <f t="shared" si="24"/>
        <v>42248</v>
      </c>
      <c r="C1565">
        <v>3.9722</v>
      </c>
    </row>
    <row r="1566" spans="1:3" x14ac:dyDescent="0.35">
      <c r="A1566" s="12">
        <v>42276</v>
      </c>
      <c r="B1566" s="12">
        <f t="shared" si="24"/>
        <v>42248</v>
      </c>
      <c r="C1566">
        <v>4.1165000000000003</v>
      </c>
    </row>
    <row r="1567" spans="1:3" x14ac:dyDescent="0.35">
      <c r="A1567" s="12">
        <v>42275</v>
      </c>
      <c r="B1567" s="12">
        <f t="shared" si="24"/>
        <v>42248</v>
      </c>
      <c r="C1567">
        <v>4.0092999999999996</v>
      </c>
    </row>
    <row r="1568" spans="1:3" x14ac:dyDescent="0.35">
      <c r="A1568" s="12">
        <v>42272</v>
      </c>
      <c r="B1568" s="12">
        <f t="shared" si="24"/>
        <v>42248</v>
      </c>
      <c r="C1568">
        <v>3.9472</v>
      </c>
    </row>
    <row r="1569" spans="1:3" x14ac:dyDescent="0.35">
      <c r="A1569" s="12">
        <v>42271</v>
      </c>
      <c r="B1569" s="12">
        <f t="shared" si="24"/>
        <v>42248</v>
      </c>
      <c r="C1569">
        <v>4.1942000000000004</v>
      </c>
    </row>
    <row r="1570" spans="1:3" x14ac:dyDescent="0.35">
      <c r="A1570" s="12">
        <v>42270</v>
      </c>
      <c r="B1570" s="12">
        <f t="shared" si="24"/>
        <v>42248</v>
      </c>
      <c r="C1570">
        <v>4.1033999999999997</v>
      </c>
    </row>
    <row r="1571" spans="1:3" x14ac:dyDescent="0.35">
      <c r="A1571" s="12">
        <v>42269</v>
      </c>
      <c r="B1571" s="12">
        <f t="shared" si="24"/>
        <v>42248</v>
      </c>
      <c r="C1571">
        <v>4.0419</v>
      </c>
    </row>
    <row r="1572" spans="1:3" x14ac:dyDescent="0.35">
      <c r="A1572" s="12">
        <v>42268</v>
      </c>
      <c r="B1572" s="12">
        <f t="shared" si="24"/>
        <v>42248</v>
      </c>
      <c r="C1572">
        <v>3.9815</v>
      </c>
    </row>
    <row r="1573" spans="1:3" x14ac:dyDescent="0.35">
      <c r="A1573" s="12">
        <v>42265</v>
      </c>
      <c r="B1573" s="12">
        <f t="shared" si="24"/>
        <v>42248</v>
      </c>
      <c r="C1573">
        <v>3.9015</v>
      </c>
    </row>
    <row r="1574" spans="1:3" x14ac:dyDescent="0.35">
      <c r="A1574" s="12">
        <v>42264</v>
      </c>
      <c r="B1574" s="12">
        <f t="shared" si="24"/>
        <v>42248</v>
      </c>
      <c r="C1574">
        <v>3.8915000000000002</v>
      </c>
    </row>
    <row r="1575" spans="1:3" x14ac:dyDescent="0.35">
      <c r="A1575" s="12">
        <v>42263</v>
      </c>
      <c r="B1575" s="12">
        <f t="shared" si="24"/>
        <v>42248</v>
      </c>
      <c r="C1575">
        <v>3.8361000000000001</v>
      </c>
    </row>
    <row r="1576" spans="1:3" x14ac:dyDescent="0.35">
      <c r="A1576" s="12">
        <v>42262</v>
      </c>
      <c r="B1576" s="12">
        <f t="shared" si="24"/>
        <v>42248</v>
      </c>
      <c r="C1576">
        <v>3.8593000000000002</v>
      </c>
    </row>
    <row r="1577" spans="1:3" x14ac:dyDescent="0.35">
      <c r="A1577" s="12">
        <v>42261</v>
      </c>
      <c r="B1577" s="12">
        <f t="shared" si="24"/>
        <v>42248</v>
      </c>
      <c r="C1577">
        <v>3.8647</v>
      </c>
    </row>
    <row r="1578" spans="1:3" x14ac:dyDescent="0.35">
      <c r="A1578" s="12">
        <v>42258</v>
      </c>
      <c r="B1578" s="12">
        <f t="shared" si="24"/>
        <v>42248</v>
      </c>
      <c r="C1578">
        <v>3.8692000000000002</v>
      </c>
    </row>
    <row r="1579" spans="1:3" x14ac:dyDescent="0.35">
      <c r="A1579" s="12">
        <v>42257</v>
      </c>
      <c r="B1579" s="12">
        <f t="shared" si="24"/>
        <v>42248</v>
      </c>
      <c r="C1579">
        <v>3.8691</v>
      </c>
    </row>
    <row r="1580" spans="1:3" x14ac:dyDescent="0.35">
      <c r="A1580" s="12">
        <v>42256</v>
      </c>
      <c r="B1580" s="12">
        <f t="shared" si="24"/>
        <v>42248</v>
      </c>
      <c r="C1580">
        <v>3.7864</v>
      </c>
    </row>
    <row r="1581" spans="1:3" x14ac:dyDescent="0.35">
      <c r="A1581" s="12">
        <v>42255</v>
      </c>
      <c r="B1581" s="12">
        <f t="shared" si="24"/>
        <v>42248</v>
      </c>
      <c r="C1581">
        <v>3.8020999999999998</v>
      </c>
    </row>
    <row r="1582" spans="1:3" x14ac:dyDescent="0.35">
      <c r="A1582" s="12">
        <v>42251</v>
      </c>
      <c r="B1582" s="12">
        <f t="shared" si="24"/>
        <v>42248</v>
      </c>
      <c r="C1582">
        <v>3.798</v>
      </c>
    </row>
    <row r="1583" spans="1:3" x14ac:dyDescent="0.35">
      <c r="A1583" s="12">
        <v>42250</v>
      </c>
      <c r="B1583" s="12">
        <f t="shared" si="24"/>
        <v>42248</v>
      </c>
      <c r="C1583">
        <v>3.7753000000000001</v>
      </c>
    </row>
    <row r="1584" spans="1:3" x14ac:dyDescent="0.35">
      <c r="A1584" s="12">
        <v>42249</v>
      </c>
      <c r="B1584" s="12">
        <f t="shared" si="24"/>
        <v>42248</v>
      </c>
      <c r="C1584">
        <v>3.7307000000000001</v>
      </c>
    </row>
    <row r="1585" spans="1:3" x14ac:dyDescent="0.35">
      <c r="A1585" s="12">
        <v>42248</v>
      </c>
      <c r="B1585" s="12">
        <f t="shared" si="24"/>
        <v>42248</v>
      </c>
      <c r="C1585">
        <v>3.6718999999999999</v>
      </c>
    </row>
    <row r="1586" spans="1:3" x14ac:dyDescent="0.35">
      <c r="A1586" s="12">
        <v>42247</v>
      </c>
      <c r="B1586" s="12">
        <f t="shared" si="24"/>
        <v>42217</v>
      </c>
      <c r="C1586">
        <v>3.6461000000000001</v>
      </c>
    </row>
    <row r="1587" spans="1:3" x14ac:dyDescent="0.35">
      <c r="A1587" s="12">
        <v>42244</v>
      </c>
      <c r="B1587" s="12">
        <f t="shared" si="24"/>
        <v>42217</v>
      </c>
      <c r="C1587">
        <v>3.5783999999999998</v>
      </c>
    </row>
    <row r="1588" spans="1:3" x14ac:dyDescent="0.35">
      <c r="A1588" s="12">
        <v>42243</v>
      </c>
      <c r="B1588" s="12">
        <f t="shared" si="24"/>
        <v>42217</v>
      </c>
      <c r="C1588">
        <v>3.5548999999999999</v>
      </c>
    </row>
    <row r="1589" spans="1:3" x14ac:dyDescent="0.35">
      <c r="A1589" s="12">
        <v>42242</v>
      </c>
      <c r="B1589" s="12">
        <f t="shared" si="24"/>
        <v>42217</v>
      </c>
      <c r="C1589">
        <v>3.6320000000000001</v>
      </c>
    </row>
    <row r="1590" spans="1:3" x14ac:dyDescent="0.35">
      <c r="A1590" s="12">
        <v>42241</v>
      </c>
      <c r="B1590" s="12">
        <f t="shared" si="24"/>
        <v>42217</v>
      </c>
      <c r="C1590">
        <v>3.5339</v>
      </c>
    </row>
    <row r="1591" spans="1:3" x14ac:dyDescent="0.35">
      <c r="A1591" s="12">
        <v>42240</v>
      </c>
      <c r="B1591" s="12">
        <f t="shared" si="24"/>
        <v>42217</v>
      </c>
      <c r="C1591">
        <v>3.5488</v>
      </c>
    </row>
    <row r="1592" spans="1:3" x14ac:dyDescent="0.35">
      <c r="A1592" s="12">
        <v>42237</v>
      </c>
      <c r="B1592" s="12">
        <f t="shared" si="24"/>
        <v>42217</v>
      </c>
      <c r="C1592">
        <v>3.4889999999999999</v>
      </c>
    </row>
    <row r="1593" spans="1:3" x14ac:dyDescent="0.35">
      <c r="A1593" s="12">
        <v>42236</v>
      </c>
      <c r="B1593" s="12">
        <f t="shared" si="24"/>
        <v>42217</v>
      </c>
      <c r="C1593">
        <v>3.4744999999999999</v>
      </c>
    </row>
    <row r="1594" spans="1:3" x14ac:dyDescent="0.35">
      <c r="A1594" s="12">
        <v>42235</v>
      </c>
      <c r="B1594" s="12">
        <f t="shared" si="24"/>
        <v>42217</v>
      </c>
      <c r="C1594">
        <v>3.4843000000000002</v>
      </c>
    </row>
    <row r="1595" spans="1:3" x14ac:dyDescent="0.35">
      <c r="A1595" s="12">
        <v>42234</v>
      </c>
      <c r="B1595" s="12">
        <f t="shared" si="24"/>
        <v>42217</v>
      </c>
      <c r="C1595">
        <v>3.4805000000000001</v>
      </c>
    </row>
    <row r="1596" spans="1:3" x14ac:dyDescent="0.35">
      <c r="A1596" s="12">
        <v>42233</v>
      </c>
      <c r="B1596" s="12">
        <f t="shared" si="24"/>
        <v>42217</v>
      </c>
      <c r="C1596">
        <v>3.4739</v>
      </c>
    </row>
    <row r="1597" spans="1:3" x14ac:dyDescent="0.35">
      <c r="A1597" s="12">
        <v>42230</v>
      </c>
      <c r="B1597" s="12">
        <f t="shared" si="24"/>
        <v>42217</v>
      </c>
      <c r="C1597">
        <v>3.4754999999999998</v>
      </c>
    </row>
    <row r="1598" spans="1:3" x14ac:dyDescent="0.35">
      <c r="A1598" s="12">
        <v>42229</v>
      </c>
      <c r="B1598" s="12">
        <f t="shared" si="24"/>
        <v>42217</v>
      </c>
      <c r="C1598">
        <v>3.5068000000000001</v>
      </c>
    </row>
    <row r="1599" spans="1:3" x14ac:dyDescent="0.35">
      <c r="A1599" s="12">
        <v>42228</v>
      </c>
      <c r="B1599" s="12">
        <f t="shared" si="24"/>
        <v>42217</v>
      </c>
      <c r="C1599">
        <v>3.4820000000000002</v>
      </c>
    </row>
    <row r="1600" spans="1:3" x14ac:dyDescent="0.35">
      <c r="A1600" s="12">
        <v>42227</v>
      </c>
      <c r="B1600" s="12">
        <f t="shared" si="24"/>
        <v>42217</v>
      </c>
      <c r="C1600">
        <v>3.4918999999999998</v>
      </c>
    </row>
    <row r="1601" spans="1:3" x14ac:dyDescent="0.35">
      <c r="A1601" s="12">
        <v>42226</v>
      </c>
      <c r="B1601" s="12">
        <f t="shared" si="24"/>
        <v>42217</v>
      </c>
      <c r="C1601">
        <v>3.4903</v>
      </c>
    </row>
    <row r="1602" spans="1:3" x14ac:dyDescent="0.35">
      <c r="A1602" s="12">
        <v>42223</v>
      </c>
      <c r="B1602" s="12">
        <f t="shared" si="24"/>
        <v>42217</v>
      </c>
      <c r="C1602">
        <v>3.5175000000000001</v>
      </c>
    </row>
    <row r="1603" spans="1:3" x14ac:dyDescent="0.35">
      <c r="A1603" s="12">
        <v>42222</v>
      </c>
      <c r="B1603" s="12">
        <f t="shared" ref="B1603:B1666" si="25">DATE(YEAR(A1603),MONTH(A1603),DAY(1))</f>
        <v>42217</v>
      </c>
      <c r="C1603">
        <v>3.5341</v>
      </c>
    </row>
    <row r="1604" spans="1:3" x14ac:dyDescent="0.35">
      <c r="A1604" s="12">
        <v>42221</v>
      </c>
      <c r="B1604" s="12">
        <f t="shared" si="25"/>
        <v>42217</v>
      </c>
      <c r="C1604">
        <v>3.4843999999999999</v>
      </c>
    </row>
    <row r="1605" spans="1:3" x14ac:dyDescent="0.35">
      <c r="A1605" s="12">
        <v>42220</v>
      </c>
      <c r="B1605" s="12">
        <f t="shared" si="25"/>
        <v>42217</v>
      </c>
      <c r="C1605">
        <v>3.4668999999999999</v>
      </c>
    </row>
    <row r="1606" spans="1:3" x14ac:dyDescent="0.35">
      <c r="A1606" s="12">
        <v>42219</v>
      </c>
      <c r="B1606" s="12">
        <f t="shared" si="25"/>
        <v>42217</v>
      </c>
      <c r="C1606">
        <v>3.4419</v>
      </c>
    </row>
    <row r="1607" spans="1:3" x14ac:dyDescent="0.35">
      <c r="A1607" s="12">
        <v>42216</v>
      </c>
      <c r="B1607" s="12">
        <f t="shared" si="25"/>
        <v>42186</v>
      </c>
      <c r="C1607">
        <v>3.3934000000000002</v>
      </c>
    </row>
    <row r="1608" spans="1:3" x14ac:dyDescent="0.35">
      <c r="A1608" s="12">
        <v>42215</v>
      </c>
      <c r="B1608" s="12">
        <f t="shared" si="25"/>
        <v>42186</v>
      </c>
      <c r="C1608">
        <v>3.3645999999999998</v>
      </c>
    </row>
    <row r="1609" spans="1:3" x14ac:dyDescent="0.35">
      <c r="A1609" s="12">
        <v>42214</v>
      </c>
      <c r="B1609" s="12">
        <f t="shared" si="25"/>
        <v>42186</v>
      </c>
      <c r="C1609">
        <v>3.3412999999999999</v>
      </c>
    </row>
    <row r="1610" spans="1:3" x14ac:dyDescent="0.35">
      <c r="A1610" s="12">
        <v>42213</v>
      </c>
      <c r="B1610" s="12">
        <f t="shared" si="25"/>
        <v>42186</v>
      </c>
      <c r="C1610">
        <v>3.3807999999999998</v>
      </c>
    </row>
    <row r="1611" spans="1:3" x14ac:dyDescent="0.35">
      <c r="A1611" s="12">
        <v>42212</v>
      </c>
      <c r="B1611" s="12">
        <f t="shared" si="25"/>
        <v>42186</v>
      </c>
      <c r="C1611">
        <v>3.3551000000000002</v>
      </c>
    </row>
    <row r="1612" spans="1:3" x14ac:dyDescent="0.35">
      <c r="A1612" s="12">
        <v>42209</v>
      </c>
      <c r="B1612" s="12">
        <f t="shared" si="25"/>
        <v>42186</v>
      </c>
      <c r="C1612">
        <v>3.3248000000000002</v>
      </c>
    </row>
    <row r="1613" spans="1:3" x14ac:dyDescent="0.35">
      <c r="A1613" s="12">
        <v>42208</v>
      </c>
      <c r="B1613" s="12">
        <f t="shared" si="25"/>
        <v>42186</v>
      </c>
      <c r="C1613">
        <v>3.2844000000000002</v>
      </c>
    </row>
    <row r="1614" spans="1:3" x14ac:dyDescent="0.35">
      <c r="A1614" s="12">
        <v>42207</v>
      </c>
      <c r="B1614" s="12">
        <f t="shared" si="25"/>
        <v>42186</v>
      </c>
      <c r="C1614">
        <v>3.2088000000000001</v>
      </c>
    </row>
    <row r="1615" spans="1:3" x14ac:dyDescent="0.35">
      <c r="A1615" s="12">
        <v>42206</v>
      </c>
      <c r="B1615" s="12">
        <f t="shared" si="25"/>
        <v>42186</v>
      </c>
      <c r="C1615">
        <v>3.1806999999999999</v>
      </c>
    </row>
    <row r="1616" spans="1:3" x14ac:dyDescent="0.35">
      <c r="A1616" s="12">
        <v>42205</v>
      </c>
      <c r="B1616" s="12">
        <f t="shared" si="25"/>
        <v>42186</v>
      </c>
      <c r="C1616">
        <v>3.2143000000000002</v>
      </c>
    </row>
    <row r="1617" spans="1:3" x14ac:dyDescent="0.35">
      <c r="A1617" s="12">
        <v>42202</v>
      </c>
      <c r="B1617" s="12">
        <f t="shared" si="25"/>
        <v>42186</v>
      </c>
      <c r="C1617">
        <v>3.1825999999999999</v>
      </c>
    </row>
    <row r="1618" spans="1:3" x14ac:dyDescent="0.35">
      <c r="A1618" s="12">
        <v>42201</v>
      </c>
      <c r="B1618" s="12">
        <f t="shared" si="25"/>
        <v>42186</v>
      </c>
      <c r="C1618">
        <v>3.1368999999999998</v>
      </c>
    </row>
    <row r="1619" spans="1:3" x14ac:dyDescent="0.35">
      <c r="A1619" s="12">
        <v>42200</v>
      </c>
      <c r="B1619" s="12">
        <f t="shared" si="25"/>
        <v>42186</v>
      </c>
      <c r="C1619">
        <v>3.1526000000000001</v>
      </c>
    </row>
    <row r="1620" spans="1:3" x14ac:dyDescent="0.35">
      <c r="A1620" s="12">
        <v>42199</v>
      </c>
      <c r="B1620" s="12">
        <f t="shared" si="25"/>
        <v>42186</v>
      </c>
      <c r="C1620">
        <v>3.1223999999999998</v>
      </c>
    </row>
    <row r="1621" spans="1:3" x14ac:dyDescent="0.35">
      <c r="A1621" s="12">
        <v>42198</v>
      </c>
      <c r="B1621" s="12">
        <f t="shared" si="25"/>
        <v>42186</v>
      </c>
      <c r="C1621">
        <v>3.1587999999999998</v>
      </c>
    </row>
    <row r="1622" spans="1:3" x14ac:dyDescent="0.35">
      <c r="A1622" s="12">
        <v>42195</v>
      </c>
      <c r="B1622" s="12">
        <f t="shared" si="25"/>
        <v>42186</v>
      </c>
      <c r="C1622">
        <v>3.1890999999999998</v>
      </c>
    </row>
    <row r="1623" spans="1:3" x14ac:dyDescent="0.35">
      <c r="A1623" s="12">
        <v>42194</v>
      </c>
      <c r="B1623" s="12">
        <f t="shared" si="25"/>
        <v>42186</v>
      </c>
      <c r="C1623">
        <v>3.2151999999999998</v>
      </c>
    </row>
    <row r="1624" spans="1:3" x14ac:dyDescent="0.35">
      <c r="A1624" s="12">
        <v>42193</v>
      </c>
      <c r="B1624" s="12">
        <f t="shared" si="25"/>
        <v>42186</v>
      </c>
      <c r="C1624">
        <v>3.2275</v>
      </c>
    </row>
    <row r="1625" spans="1:3" x14ac:dyDescent="0.35">
      <c r="A1625" s="12">
        <v>42192</v>
      </c>
      <c r="B1625" s="12">
        <f t="shared" si="25"/>
        <v>42186</v>
      </c>
      <c r="C1625">
        <v>3.1802999999999999</v>
      </c>
    </row>
    <row r="1626" spans="1:3" x14ac:dyDescent="0.35">
      <c r="A1626" s="12">
        <v>42191</v>
      </c>
      <c r="B1626" s="12">
        <f t="shared" si="25"/>
        <v>42186</v>
      </c>
      <c r="C1626">
        <v>3.1425000000000001</v>
      </c>
    </row>
    <row r="1627" spans="1:3" x14ac:dyDescent="0.35">
      <c r="A1627" s="12">
        <v>42188</v>
      </c>
      <c r="B1627" s="12">
        <f t="shared" si="25"/>
        <v>42186</v>
      </c>
      <c r="C1627">
        <v>3.1265000000000001</v>
      </c>
    </row>
    <row r="1628" spans="1:3" x14ac:dyDescent="0.35">
      <c r="A1628" s="12">
        <v>42187</v>
      </c>
      <c r="B1628" s="12">
        <f t="shared" si="25"/>
        <v>42186</v>
      </c>
      <c r="C1628">
        <v>3.1166</v>
      </c>
    </row>
    <row r="1629" spans="1:3" x14ac:dyDescent="0.35">
      <c r="A1629" s="12">
        <v>42186</v>
      </c>
      <c r="B1629" s="12">
        <f t="shared" si="25"/>
        <v>42186</v>
      </c>
      <c r="C1629">
        <v>3.1185</v>
      </c>
    </row>
    <row r="1630" spans="1:3" x14ac:dyDescent="0.35">
      <c r="A1630" s="12">
        <v>42185</v>
      </c>
      <c r="B1630" s="12">
        <f t="shared" si="25"/>
        <v>42156</v>
      </c>
      <c r="C1630">
        <v>3.1019000000000001</v>
      </c>
    </row>
    <row r="1631" spans="1:3" x14ac:dyDescent="0.35">
      <c r="A1631" s="12">
        <v>42184</v>
      </c>
      <c r="B1631" s="12">
        <f t="shared" si="25"/>
        <v>42156</v>
      </c>
      <c r="C1631">
        <v>3.1383000000000001</v>
      </c>
    </row>
    <row r="1632" spans="1:3" x14ac:dyDescent="0.35">
      <c r="A1632" s="12">
        <v>42181</v>
      </c>
      <c r="B1632" s="12">
        <f t="shared" si="25"/>
        <v>42156</v>
      </c>
      <c r="C1632">
        <v>3.1265000000000001</v>
      </c>
    </row>
    <row r="1633" spans="1:3" x14ac:dyDescent="0.35">
      <c r="A1633" s="12">
        <v>42180</v>
      </c>
      <c r="B1633" s="12">
        <f t="shared" si="25"/>
        <v>42156</v>
      </c>
      <c r="C1633">
        <v>3.1009000000000002</v>
      </c>
    </row>
    <row r="1634" spans="1:3" x14ac:dyDescent="0.35">
      <c r="A1634" s="12">
        <v>42179</v>
      </c>
      <c r="B1634" s="12">
        <f t="shared" si="25"/>
        <v>42156</v>
      </c>
      <c r="C1634">
        <v>3.0846</v>
      </c>
    </row>
    <row r="1635" spans="1:3" x14ac:dyDescent="0.35">
      <c r="A1635" s="12">
        <v>42178</v>
      </c>
      <c r="B1635" s="12">
        <f t="shared" si="25"/>
        <v>42156</v>
      </c>
      <c r="C1635">
        <v>3.1036000000000001</v>
      </c>
    </row>
    <row r="1636" spans="1:3" x14ac:dyDescent="0.35">
      <c r="A1636" s="12">
        <v>42177</v>
      </c>
      <c r="B1636" s="12">
        <f t="shared" si="25"/>
        <v>42156</v>
      </c>
      <c r="C1636">
        <v>3.0750999999999999</v>
      </c>
    </row>
    <row r="1637" spans="1:3" x14ac:dyDescent="0.35">
      <c r="A1637" s="12">
        <v>42174</v>
      </c>
      <c r="B1637" s="12">
        <f t="shared" si="25"/>
        <v>42156</v>
      </c>
      <c r="C1637">
        <v>3.0781999999999998</v>
      </c>
    </row>
    <row r="1638" spans="1:3" x14ac:dyDescent="0.35">
      <c r="A1638" s="12">
        <v>42173</v>
      </c>
      <c r="B1638" s="12">
        <f t="shared" si="25"/>
        <v>42156</v>
      </c>
      <c r="C1638">
        <v>3.0466000000000002</v>
      </c>
    </row>
    <row r="1639" spans="1:3" x14ac:dyDescent="0.35">
      <c r="A1639" s="12">
        <v>42172</v>
      </c>
      <c r="B1639" s="12">
        <f t="shared" si="25"/>
        <v>42156</v>
      </c>
      <c r="C1639">
        <v>3.0983000000000001</v>
      </c>
    </row>
    <row r="1640" spans="1:3" x14ac:dyDescent="0.35">
      <c r="A1640" s="12">
        <v>42171</v>
      </c>
      <c r="B1640" s="12">
        <f t="shared" si="25"/>
        <v>42156</v>
      </c>
      <c r="C1640">
        <v>3.1076000000000001</v>
      </c>
    </row>
    <row r="1641" spans="1:3" x14ac:dyDescent="0.35">
      <c r="A1641" s="12">
        <v>42170</v>
      </c>
      <c r="B1641" s="12">
        <f t="shared" si="25"/>
        <v>42156</v>
      </c>
      <c r="C1641">
        <v>3.1030000000000002</v>
      </c>
    </row>
    <row r="1642" spans="1:3" x14ac:dyDescent="0.35">
      <c r="A1642" s="12">
        <v>42167</v>
      </c>
      <c r="B1642" s="12">
        <f t="shared" si="25"/>
        <v>42156</v>
      </c>
      <c r="C1642">
        <v>3.1101000000000001</v>
      </c>
    </row>
    <row r="1643" spans="1:3" x14ac:dyDescent="0.35">
      <c r="A1643" s="12">
        <v>42166</v>
      </c>
      <c r="B1643" s="12">
        <f t="shared" si="25"/>
        <v>42156</v>
      </c>
      <c r="C1643">
        <v>3.1507999999999998</v>
      </c>
    </row>
    <row r="1644" spans="1:3" x14ac:dyDescent="0.35">
      <c r="A1644" s="12">
        <v>42165</v>
      </c>
      <c r="B1644" s="12">
        <f t="shared" si="25"/>
        <v>42156</v>
      </c>
      <c r="C1644">
        <v>3.0836999999999999</v>
      </c>
    </row>
    <row r="1645" spans="1:3" x14ac:dyDescent="0.35">
      <c r="A1645" s="12">
        <v>42164</v>
      </c>
      <c r="B1645" s="12">
        <f t="shared" si="25"/>
        <v>42156</v>
      </c>
      <c r="C1645">
        <v>3.0985</v>
      </c>
    </row>
    <row r="1646" spans="1:3" x14ac:dyDescent="0.35">
      <c r="A1646" s="12">
        <v>42163</v>
      </c>
      <c r="B1646" s="12">
        <f t="shared" si="25"/>
        <v>42156</v>
      </c>
      <c r="C1646">
        <v>3.1183999999999998</v>
      </c>
    </row>
    <row r="1647" spans="1:3" x14ac:dyDescent="0.35">
      <c r="A1647" s="12">
        <v>42160</v>
      </c>
      <c r="B1647" s="12">
        <f t="shared" si="25"/>
        <v>42156</v>
      </c>
      <c r="C1647">
        <v>3.1677</v>
      </c>
    </row>
    <row r="1648" spans="1:3" x14ac:dyDescent="0.35">
      <c r="A1648" s="12">
        <v>42158</v>
      </c>
      <c r="B1648" s="12">
        <f t="shared" si="25"/>
        <v>42156</v>
      </c>
      <c r="C1648">
        <v>3.1177999999999999</v>
      </c>
    </row>
    <row r="1649" spans="1:3" x14ac:dyDescent="0.35">
      <c r="A1649" s="12">
        <v>42157</v>
      </c>
      <c r="B1649" s="12">
        <f t="shared" si="25"/>
        <v>42156</v>
      </c>
      <c r="C1649">
        <v>3.1436999999999999</v>
      </c>
    </row>
    <row r="1650" spans="1:3" x14ac:dyDescent="0.35">
      <c r="A1650" s="12">
        <v>42156</v>
      </c>
      <c r="B1650" s="12">
        <f t="shared" si="25"/>
        <v>42156</v>
      </c>
      <c r="C1650">
        <v>3.1783000000000001</v>
      </c>
    </row>
    <row r="1651" spans="1:3" x14ac:dyDescent="0.35">
      <c r="A1651" s="12">
        <v>42153</v>
      </c>
      <c r="B1651" s="12">
        <f t="shared" si="25"/>
        <v>42125</v>
      </c>
      <c r="C1651">
        <v>3.1781000000000001</v>
      </c>
    </row>
    <row r="1652" spans="1:3" x14ac:dyDescent="0.35">
      <c r="A1652" s="12">
        <v>42152</v>
      </c>
      <c r="B1652" s="12">
        <f t="shared" si="25"/>
        <v>42125</v>
      </c>
      <c r="C1652">
        <v>3.1741000000000001</v>
      </c>
    </row>
    <row r="1653" spans="1:3" x14ac:dyDescent="0.35">
      <c r="A1653" s="12">
        <v>42151</v>
      </c>
      <c r="B1653" s="12">
        <f t="shared" si="25"/>
        <v>42125</v>
      </c>
      <c r="C1653">
        <v>3.1734</v>
      </c>
    </row>
    <row r="1654" spans="1:3" x14ac:dyDescent="0.35">
      <c r="A1654" s="12">
        <v>42150</v>
      </c>
      <c r="B1654" s="12">
        <f t="shared" si="25"/>
        <v>42125</v>
      </c>
      <c r="C1654">
        <v>3.1345000000000001</v>
      </c>
    </row>
    <row r="1655" spans="1:3" x14ac:dyDescent="0.35">
      <c r="A1655" s="12">
        <v>42149</v>
      </c>
      <c r="B1655" s="12">
        <f t="shared" si="25"/>
        <v>42125</v>
      </c>
      <c r="C1655">
        <v>3.1206</v>
      </c>
    </row>
    <row r="1656" spans="1:3" x14ac:dyDescent="0.35">
      <c r="A1656" s="12">
        <v>42146</v>
      </c>
      <c r="B1656" s="12">
        <f t="shared" si="25"/>
        <v>42125</v>
      </c>
      <c r="C1656">
        <v>3.0647000000000002</v>
      </c>
    </row>
    <row r="1657" spans="1:3" x14ac:dyDescent="0.35">
      <c r="A1657" s="12">
        <v>42145</v>
      </c>
      <c r="B1657" s="12">
        <f t="shared" si="25"/>
        <v>42125</v>
      </c>
      <c r="C1657">
        <v>3.0289000000000001</v>
      </c>
    </row>
    <row r="1658" spans="1:3" x14ac:dyDescent="0.35">
      <c r="A1658" s="12">
        <v>42144</v>
      </c>
      <c r="B1658" s="12">
        <f t="shared" si="25"/>
        <v>42125</v>
      </c>
      <c r="C1658">
        <v>3.0339999999999998</v>
      </c>
    </row>
    <row r="1659" spans="1:3" x14ac:dyDescent="0.35">
      <c r="A1659" s="12">
        <v>42143</v>
      </c>
      <c r="B1659" s="12">
        <f t="shared" si="25"/>
        <v>42125</v>
      </c>
      <c r="C1659">
        <v>3.0278</v>
      </c>
    </row>
    <row r="1660" spans="1:3" x14ac:dyDescent="0.35">
      <c r="A1660" s="12">
        <v>42142</v>
      </c>
      <c r="B1660" s="12">
        <f t="shared" si="25"/>
        <v>42125</v>
      </c>
      <c r="C1660">
        <v>3.0139</v>
      </c>
    </row>
    <row r="1661" spans="1:3" x14ac:dyDescent="0.35">
      <c r="A1661" s="12">
        <v>42139</v>
      </c>
      <c r="B1661" s="12">
        <f t="shared" si="25"/>
        <v>42125</v>
      </c>
      <c r="C1661">
        <v>2.9887000000000001</v>
      </c>
    </row>
    <row r="1662" spans="1:3" x14ac:dyDescent="0.35">
      <c r="A1662" s="12">
        <v>42138</v>
      </c>
      <c r="B1662" s="12">
        <f t="shared" si="25"/>
        <v>42125</v>
      </c>
      <c r="C1662">
        <v>3.0026000000000002</v>
      </c>
    </row>
    <row r="1663" spans="1:3" x14ac:dyDescent="0.35">
      <c r="A1663" s="12">
        <v>42137</v>
      </c>
      <c r="B1663" s="12">
        <f t="shared" si="25"/>
        <v>42125</v>
      </c>
      <c r="C1663">
        <v>3.0095999999999998</v>
      </c>
    </row>
    <row r="1664" spans="1:3" x14ac:dyDescent="0.35">
      <c r="A1664" s="12">
        <v>42136</v>
      </c>
      <c r="B1664" s="12">
        <f t="shared" si="25"/>
        <v>42125</v>
      </c>
      <c r="C1664">
        <v>3.0381999999999998</v>
      </c>
    </row>
    <row r="1665" spans="1:3" x14ac:dyDescent="0.35">
      <c r="A1665" s="12">
        <v>42135</v>
      </c>
      <c r="B1665" s="12">
        <f t="shared" si="25"/>
        <v>42125</v>
      </c>
      <c r="C1665">
        <v>3.0169000000000001</v>
      </c>
    </row>
    <row r="1666" spans="1:3" x14ac:dyDescent="0.35">
      <c r="A1666" s="12">
        <v>42132</v>
      </c>
      <c r="B1666" s="12">
        <f t="shared" si="25"/>
        <v>42125</v>
      </c>
      <c r="C1666">
        <v>2.9958999999999998</v>
      </c>
    </row>
    <row r="1667" spans="1:3" x14ac:dyDescent="0.35">
      <c r="A1667" s="12">
        <v>42131</v>
      </c>
      <c r="B1667" s="12">
        <f t="shared" ref="B1667:B1730" si="26">DATE(YEAR(A1667),MONTH(A1667),DAY(1))</f>
        <v>42125</v>
      </c>
      <c r="C1667">
        <v>3.0415000000000001</v>
      </c>
    </row>
    <row r="1668" spans="1:3" x14ac:dyDescent="0.35">
      <c r="A1668" s="12">
        <v>42130</v>
      </c>
      <c r="B1668" s="12">
        <f t="shared" si="26"/>
        <v>42125</v>
      </c>
      <c r="C1668">
        <v>3.0413999999999999</v>
      </c>
    </row>
    <row r="1669" spans="1:3" x14ac:dyDescent="0.35">
      <c r="A1669" s="12">
        <v>42129</v>
      </c>
      <c r="B1669" s="12">
        <f t="shared" si="26"/>
        <v>42125</v>
      </c>
      <c r="C1669">
        <v>3.0619000000000001</v>
      </c>
    </row>
    <row r="1670" spans="1:3" x14ac:dyDescent="0.35">
      <c r="A1670" s="12">
        <v>42128</v>
      </c>
      <c r="B1670" s="12">
        <f t="shared" si="26"/>
        <v>42125</v>
      </c>
      <c r="C1670">
        <v>3.0748000000000002</v>
      </c>
    </row>
    <row r="1671" spans="1:3" x14ac:dyDescent="0.35">
      <c r="A1671" s="12">
        <v>42124</v>
      </c>
      <c r="B1671" s="12">
        <f t="shared" si="26"/>
        <v>42095</v>
      </c>
      <c r="C1671">
        <v>2.9929999999999999</v>
      </c>
    </row>
    <row r="1672" spans="1:3" x14ac:dyDescent="0.35">
      <c r="A1672" s="12">
        <v>42123</v>
      </c>
      <c r="B1672" s="12">
        <f t="shared" si="26"/>
        <v>42095</v>
      </c>
      <c r="C1672">
        <v>2.9369000000000001</v>
      </c>
    </row>
    <row r="1673" spans="1:3" x14ac:dyDescent="0.35">
      <c r="A1673" s="12">
        <v>42122</v>
      </c>
      <c r="B1673" s="12">
        <f t="shared" si="26"/>
        <v>42095</v>
      </c>
      <c r="C1673">
        <v>2.8936999999999999</v>
      </c>
    </row>
    <row r="1674" spans="1:3" x14ac:dyDescent="0.35">
      <c r="A1674" s="12">
        <v>42121</v>
      </c>
      <c r="B1674" s="12">
        <f t="shared" si="26"/>
        <v>42095</v>
      </c>
      <c r="C1674">
        <v>2.9228999999999998</v>
      </c>
    </row>
    <row r="1675" spans="1:3" x14ac:dyDescent="0.35">
      <c r="A1675" s="12">
        <v>42118</v>
      </c>
      <c r="B1675" s="12">
        <f t="shared" si="26"/>
        <v>42095</v>
      </c>
      <c r="C1675">
        <v>2.9739</v>
      </c>
    </row>
    <row r="1676" spans="1:3" x14ac:dyDescent="0.35">
      <c r="A1676" s="12">
        <v>42117</v>
      </c>
      <c r="B1676" s="12">
        <f t="shared" si="26"/>
        <v>42095</v>
      </c>
      <c r="C1676">
        <v>3.0076999999999998</v>
      </c>
    </row>
    <row r="1677" spans="1:3" x14ac:dyDescent="0.35">
      <c r="A1677" s="12">
        <v>42116</v>
      </c>
      <c r="B1677" s="12">
        <f t="shared" si="26"/>
        <v>42095</v>
      </c>
      <c r="C1677">
        <v>3.0179999999999998</v>
      </c>
    </row>
    <row r="1678" spans="1:3" x14ac:dyDescent="0.35">
      <c r="A1678" s="12">
        <v>42114</v>
      </c>
      <c r="B1678" s="12">
        <f t="shared" si="26"/>
        <v>42095</v>
      </c>
      <c r="C1678">
        <v>3.0467</v>
      </c>
    </row>
    <row r="1679" spans="1:3" x14ac:dyDescent="0.35">
      <c r="A1679" s="12">
        <v>42111</v>
      </c>
      <c r="B1679" s="12">
        <f t="shared" si="26"/>
        <v>42095</v>
      </c>
      <c r="C1679">
        <v>3.0537999999999998</v>
      </c>
    </row>
    <row r="1680" spans="1:3" x14ac:dyDescent="0.35">
      <c r="A1680" s="12">
        <v>42110</v>
      </c>
      <c r="B1680" s="12">
        <f t="shared" si="26"/>
        <v>42095</v>
      </c>
      <c r="C1680">
        <v>3.0243000000000002</v>
      </c>
    </row>
    <row r="1681" spans="1:3" x14ac:dyDescent="0.35">
      <c r="A1681" s="12">
        <v>42109</v>
      </c>
      <c r="B1681" s="12">
        <f t="shared" si="26"/>
        <v>42095</v>
      </c>
      <c r="C1681">
        <v>3.0674999999999999</v>
      </c>
    </row>
    <row r="1682" spans="1:3" x14ac:dyDescent="0.35">
      <c r="A1682" s="12">
        <v>42108</v>
      </c>
      <c r="B1682" s="12">
        <f t="shared" si="26"/>
        <v>42095</v>
      </c>
      <c r="C1682">
        <v>3.0874000000000001</v>
      </c>
    </row>
    <row r="1683" spans="1:3" x14ac:dyDescent="0.35">
      <c r="A1683" s="12">
        <v>42107</v>
      </c>
      <c r="B1683" s="12">
        <f t="shared" si="26"/>
        <v>42095</v>
      </c>
      <c r="C1683">
        <v>3.1004999999999998</v>
      </c>
    </row>
    <row r="1684" spans="1:3" x14ac:dyDescent="0.35">
      <c r="A1684" s="12">
        <v>42104</v>
      </c>
      <c r="B1684" s="12">
        <f t="shared" si="26"/>
        <v>42095</v>
      </c>
      <c r="C1684">
        <v>3.0789</v>
      </c>
    </row>
    <row r="1685" spans="1:3" x14ac:dyDescent="0.35">
      <c r="A1685" s="12">
        <v>42103</v>
      </c>
      <c r="B1685" s="12">
        <f t="shared" si="26"/>
        <v>42095</v>
      </c>
      <c r="C1685">
        <v>3.0459000000000001</v>
      </c>
    </row>
    <row r="1686" spans="1:3" x14ac:dyDescent="0.35">
      <c r="A1686" s="12">
        <v>42102</v>
      </c>
      <c r="B1686" s="12">
        <f t="shared" si="26"/>
        <v>42095</v>
      </c>
      <c r="C1686">
        <v>3.0828000000000002</v>
      </c>
    </row>
    <row r="1687" spans="1:3" x14ac:dyDescent="0.35">
      <c r="A1687" s="12">
        <v>42101</v>
      </c>
      <c r="B1687" s="12">
        <f t="shared" si="26"/>
        <v>42095</v>
      </c>
      <c r="C1687">
        <v>3.1225000000000001</v>
      </c>
    </row>
    <row r="1688" spans="1:3" x14ac:dyDescent="0.35">
      <c r="A1688" s="12">
        <v>42100</v>
      </c>
      <c r="B1688" s="12">
        <f t="shared" si="26"/>
        <v>42095</v>
      </c>
      <c r="C1688">
        <v>3.0920000000000001</v>
      </c>
    </row>
    <row r="1689" spans="1:3" x14ac:dyDescent="0.35">
      <c r="A1689" s="12">
        <v>42096</v>
      </c>
      <c r="B1689" s="12">
        <f t="shared" si="26"/>
        <v>42095</v>
      </c>
      <c r="C1689">
        <v>3.1486000000000001</v>
      </c>
    </row>
    <row r="1690" spans="1:3" x14ac:dyDescent="0.35">
      <c r="A1690" s="12">
        <v>42095</v>
      </c>
      <c r="B1690" s="12">
        <f t="shared" si="26"/>
        <v>42095</v>
      </c>
      <c r="C1690">
        <v>3.1549</v>
      </c>
    </row>
    <row r="1691" spans="1:3" x14ac:dyDescent="0.35">
      <c r="A1691" s="12">
        <v>42094</v>
      </c>
      <c r="B1691" s="12">
        <f t="shared" si="26"/>
        <v>42064</v>
      </c>
      <c r="C1691">
        <v>3.2073999999999998</v>
      </c>
    </row>
    <row r="1692" spans="1:3" x14ac:dyDescent="0.35">
      <c r="A1692" s="12">
        <v>42093</v>
      </c>
      <c r="B1692" s="12">
        <f t="shared" si="26"/>
        <v>42064</v>
      </c>
      <c r="C1692">
        <v>3.2595000000000001</v>
      </c>
    </row>
    <row r="1693" spans="1:3" x14ac:dyDescent="0.35">
      <c r="A1693" s="12">
        <v>42090</v>
      </c>
      <c r="B1693" s="12">
        <f t="shared" si="26"/>
        <v>42064</v>
      </c>
      <c r="C1693">
        <v>3.2252999999999998</v>
      </c>
    </row>
    <row r="1694" spans="1:3" x14ac:dyDescent="0.35">
      <c r="A1694" s="12">
        <v>42089</v>
      </c>
      <c r="B1694" s="12">
        <f t="shared" si="26"/>
        <v>42064</v>
      </c>
      <c r="C1694">
        <v>3.1909000000000001</v>
      </c>
    </row>
    <row r="1695" spans="1:3" x14ac:dyDescent="0.35">
      <c r="A1695" s="12">
        <v>42088</v>
      </c>
      <c r="B1695" s="12">
        <f t="shared" si="26"/>
        <v>42064</v>
      </c>
      <c r="C1695">
        <v>3.1469</v>
      </c>
    </row>
    <row r="1696" spans="1:3" x14ac:dyDescent="0.35">
      <c r="A1696" s="12">
        <v>42087</v>
      </c>
      <c r="B1696" s="12">
        <f t="shared" si="26"/>
        <v>42064</v>
      </c>
      <c r="C1696">
        <v>3.1303999999999998</v>
      </c>
    </row>
    <row r="1697" spans="1:3" x14ac:dyDescent="0.35">
      <c r="A1697" s="12">
        <v>42086</v>
      </c>
      <c r="B1697" s="12">
        <f t="shared" si="26"/>
        <v>42064</v>
      </c>
      <c r="C1697">
        <v>3.1793</v>
      </c>
    </row>
    <row r="1698" spans="1:3" x14ac:dyDescent="0.35">
      <c r="A1698" s="12">
        <v>42083</v>
      </c>
      <c r="B1698" s="12">
        <f t="shared" si="26"/>
        <v>42064</v>
      </c>
      <c r="C1698">
        <v>3.2416999999999998</v>
      </c>
    </row>
    <row r="1699" spans="1:3" x14ac:dyDescent="0.35">
      <c r="A1699" s="12">
        <v>42082</v>
      </c>
      <c r="B1699" s="12">
        <f t="shared" si="26"/>
        <v>42064</v>
      </c>
      <c r="C1699">
        <v>3.2635000000000001</v>
      </c>
    </row>
    <row r="1700" spans="1:3" x14ac:dyDescent="0.35">
      <c r="A1700" s="12">
        <v>42081</v>
      </c>
      <c r="B1700" s="12">
        <f t="shared" si="26"/>
        <v>42064</v>
      </c>
      <c r="C1700">
        <v>3.2511999999999999</v>
      </c>
    </row>
    <row r="1701" spans="1:3" x14ac:dyDescent="0.35">
      <c r="A1701" s="12">
        <v>42080</v>
      </c>
      <c r="B1701" s="12">
        <f t="shared" si="26"/>
        <v>42064</v>
      </c>
      <c r="C1701">
        <v>3.2677</v>
      </c>
    </row>
    <row r="1702" spans="1:3" x14ac:dyDescent="0.35">
      <c r="A1702" s="12">
        <v>42079</v>
      </c>
      <c r="B1702" s="12">
        <f t="shared" si="26"/>
        <v>42064</v>
      </c>
      <c r="C1702">
        <v>3.2250999999999999</v>
      </c>
    </row>
    <row r="1703" spans="1:3" x14ac:dyDescent="0.35">
      <c r="A1703" s="12">
        <v>42076</v>
      </c>
      <c r="B1703" s="12">
        <f t="shared" si="26"/>
        <v>42064</v>
      </c>
      <c r="C1703">
        <v>3.2258</v>
      </c>
    </row>
    <row r="1704" spans="1:3" x14ac:dyDescent="0.35">
      <c r="A1704" s="12">
        <v>42075</v>
      </c>
      <c r="B1704" s="12">
        <f t="shared" si="26"/>
        <v>42064</v>
      </c>
      <c r="C1704">
        <v>3.1164999999999998</v>
      </c>
    </row>
    <row r="1705" spans="1:3" x14ac:dyDescent="0.35">
      <c r="A1705" s="12">
        <v>42074</v>
      </c>
      <c r="B1705" s="12">
        <f t="shared" si="26"/>
        <v>42064</v>
      </c>
      <c r="C1705">
        <v>3.1156000000000001</v>
      </c>
    </row>
    <row r="1706" spans="1:3" x14ac:dyDescent="0.35">
      <c r="A1706" s="12">
        <v>42073</v>
      </c>
      <c r="B1706" s="12">
        <f t="shared" si="26"/>
        <v>42064</v>
      </c>
      <c r="C1706">
        <v>3.1293000000000002</v>
      </c>
    </row>
    <row r="1707" spans="1:3" x14ac:dyDescent="0.35">
      <c r="A1707" s="12">
        <v>42072</v>
      </c>
      <c r="B1707" s="12">
        <f t="shared" si="26"/>
        <v>42064</v>
      </c>
      <c r="C1707">
        <v>3.1012</v>
      </c>
    </row>
    <row r="1708" spans="1:3" x14ac:dyDescent="0.35">
      <c r="A1708" s="12">
        <v>42069</v>
      </c>
      <c r="B1708" s="12">
        <f t="shared" si="26"/>
        <v>42064</v>
      </c>
      <c r="C1708">
        <v>3.036</v>
      </c>
    </row>
    <row r="1709" spans="1:3" x14ac:dyDescent="0.35">
      <c r="A1709" s="12">
        <v>42068</v>
      </c>
      <c r="B1709" s="12">
        <f t="shared" si="26"/>
        <v>42064</v>
      </c>
      <c r="C1709">
        <v>2.9925000000000002</v>
      </c>
    </row>
    <row r="1710" spans="1:3" x14ac:dyDescent="0.35">
      <c r="A1710" s="12">
        <v>42067</v>
      </c>
      <c r="B1710" s="12">
        <f t="shared" si="26"/>
        <v>42064</v>
      </c>
      <c r="C1710">
        <v>2.9798</v>
      </c>
    </row>
    <row r="1711" spans="1:3" x14ac:dyDescent="0.35">
      <c r="A1711" s="12">
        <v>42066</v>
      </c>
      <c r="B1711" s="12">
        <f t="shared" si="26"/>
        <v>42064</v>
      </c>
      <c r="C1711">
        <v>2.9045000000000001</v>
      </c>
    </row>
    <row r="1712" spans="1:3" x14ac:dyDescent="0.35">
      <c r="A1712" s="12">
        <v>42065</v>
      </c>
      <c r="B1712" s="12">
        <f t="shared" si="26"/>
        <v>42064</v>
      </c>
      <c r="C1712">
        <v>2.8649</v>
      </c>
    </row>
    <row r="1713" spans="1:3" x14ac:dyDescent="0.35">
      <c r="A1713" s="12">
        <v>42062</v>
      </c>
      <c r="B1713" s="12">
        <f t="shared" si="26"/>
        <v>42036</v>
      </c>
      <c r="C1713">
        <v>2.8776999999999999</v>
      </c>
    </row>
    <row r="1714" spans="1:3" x14ac:dyDescent="0.35">
      <c r="A1714" s="12">
        <v>42061</v>
      </c>
      <c r="B1714" s="12">
        <f t="shared" si="26"/>
        <v>42036</v>
      </c>
      <c r="C1714">
        <v>2.8721000000000001</v>
      </c>
    </row>
    <row r="1715" spans="1:3" x14ac:dyDescent="0.35">
      <c r="A1715" s="12">
        <v>42060</v>
      </c>
      <c r="B1715" s="12">
        <f t="shared" si="26"/>
        <v>42036</v>
      </c>
      <c r="C1715">
        <v>2.8639999999999999</v>
      </c>
    </row>
    <row r="1716" spans="1:3" x14ac:dyDescent="0.35">
      <c r="A1716" s="12">
        <v>42059</v>
      </c>
      <c r="B1716" s="12">
        <f t="shared" si="26"/>
        <v>42036</v>
      </c>
      <c r="C1716">
        <v>2.8643000000000001</v>
      </c>
    </row>
    <row r="1717" spans="1:3" x14ac:dyDescent="0.35">
      <c r="A1717" s="12">
        <v>42058</v>
      </c>
      <c r="B1717" s="12">
        <f t="shared" si="26"/>
        <v>42036</v>
      </c>
      <c r="C1717">
        <v>2.8805000000000001</v>
      </c>
    </row>
    <row r="1718" spans="1:3" x14ac:dyDescent="0.35">
      <c r="A1718" s="12">
        <v>42055</v>
      </c>
      <c r="B1718" s="12">
        <f t="shared" si="26"/>
        <v>42036</v>
      </c>
      <c r="C1718">
        <v>2.8694000000000002</v>
      </c>
    </row>
    <row r="1719" spans="1:3" x14ac:dyDescent="0.35">
      <c r="A1719" s="12">
        <v>42054</v>
      </c>
      <c r="B1719" s="12">
        <f t="shared" si="26"/>
        <v>42036</v>
      </c>
      <c r="C1719">
        <v>2.8538999999999999</v>
      </c>
    </row>
    <row r="1720" spans="1:3" x14ac:dyDescent="0.35">
      <c r="A1720" s="12">
        <v>42053</v>
      </c>
      <c r="B1720" s="12">
        <f t="shared" si="26"/>
        <v>42036</v>
      </c>
      <c r="C1720">
        <v>2.8424</v>
      </c>
    </row>
    <row r="1721" spans="1:3" x14ac:dyDescent="0.35">
      <c r="A1721" s="12">
        <v>42048</v>
      </c>
      <c r="B1721" s="12">
        <f t="shared" si="26"/>
        <v>42036</v>
      </c>
      <c r="C1721">
        <v>2.8384999999999998</v>
      </c>
    </row>
    <row r="1722" spans="1:3" x14ac:dyDescent="0.35">
      <c r="A1722" s="12">
        <v>42047</v>
      </c>
      <c r="B1722" s="12">
        <f t="shared" si="26"/>
        <v>42036</v>
      </c>
      <c r="C1722">
        <v>2.8618999999999999</v>
      </c>
    </row>
    <row r="1723" spans="1:3" x14ac:dyDescent="0.35">
      <c r="A1723" s="12">
        <v>42046</v>
      </c>
      <c r="B1723" s="12">
        <f t="shared" si="26"/>
        <v>42036</v>
      </c>
      <c r="C1723">
        <v>2.8570000000000002</v>
      </c>
    </row>
    <row r="1724" spans="1:3" x14ac:dyDescent="0.35">
      <c r="A1724" s="12">
        <v>42045</v>
      </c>
      <c r="B1724" s="12">
        <f t="shared" si="26"/>
        <v>42036</v>
      </c>
      <c r="C1724">
        <v>2.8069000000000002</v>
      </c>
    </row>
    <row r="1725" spans="1:3" x14ac:dyDescent="0.35">
      <c r="A1725" s="12">
        <v>42044</v>
      </c>
      <c r="B1725" s="12">
        <f t="shared" si="26"/>
        <v>42036</v>
      </c>
      <c r="C1725">
        <v>2.7867000000000002</v>
      </c>
    </row>
    <row r="1726" spans="1:3" x14ac:dyDescent="0.35">
      <c r="A1726" s="12">
        <v>42041</v>
      </c>
      <c r="B1726" s="12">
        <f t="shared" si="26"/>
        <v>42036</v>
      </c>
      <c r="C1726">
        <v>2.7635000000000001</v>
      </c>
    </row>
    <row r="1727" spans="1:3" x14ac:dyDescent="0.35">
      <c r="A1727" s="12">
        <v>42040</v>
      </c>
      <c r="B1727" s="12">
        <f t="shared" si="26"/>
        <v>42036</v>
      </c>
      <c r="C1727">
        <v>2.738</v>
      </c>
    </row>
    <row r="1728" spans="1:3" x14ac:dyDescent="0.35">
      <c r="A1728" s="12">
        <v>42039</v>
      </c>
      <c r="B1728" s="12">
        <f t="shared" si="26"/>
        <v>42036</v>
      </c>
      <c r="C1728">
        <v>2.7141999999999999</v>
      </c>
    </row>
    <row r="1729" spans="1:3" x14ac:dyDescent="0.35">
      <c r="A1729" s="12">
        <v>42038</v>
      </c>
      <c r="B1729" s="12">
        <f t="shared" si="26"/>
        <v>42036</v>
      </c>
      <c r="C1729">
        <v>2.7052999999999998</v>
      </c>
    </row>
    <row r="1730" spans="1:3" x14ac:dyDescent="0.35">
      <c r="A1730" s="12">
        <v>42037</v>
      </c>
      <c r="B1730" s="12">
        <f t="shared" si="26"/>
        <v>42036</v>
      </c>
      <c r="C1730">
        <v>2.6888000000000001</v>
      </c>
    </row>
    <row r="1731" spans="1:3" x14ac:dyDescent="0.35">
      <c r="A1731" s="12">
        <v>42034</v>
      </c>
      <c r="B1731" s="12">
        <f t="shared" ref="B1731:B1794" si="27">DATE(YEAR(A1731),MONTH(A1731),DAY(1))</f>
        <v>42005</v>
      </c>
      <c r="C1731">
        <v>2.6617000000000002</v>
      </c>
    </row>
    <row r="1732" spans="1:3" x14ac:dyDescent="0.35">
      <c r="A1732" s="12">
        <v>42033</v>
      </c>
      <c r="B1732" s="12">
        <f t="shared" si="27"/>
        <v>42005</v>
      </c>
      <c r="C1732">
        <v>2.5954000000000002</v>
      </c>
    </row>
    <row r="1733" spans="1:3" x14ac:dyDescent="0.35">
      <c r="A1733" s="12">
        <v>42032</v>
      </c>
      <c r="B1733" s="12">
        <f t="shared" si="27"/>
        <v>42005</v>
      </c>
      <c r="C1733">
        <v>2.5790999999999999</v>
      </c>
    </row>
    <row r="1734" spans="1:3" x14ac:dyDescent="0.35">
      <c r="A1734" s="12">
        <v>42031</v>
      </c>
      <c r="B1734" s="12">
        <f t="shared" si="27"/>
        <v>42005</v>
      </c>
      <c r="C1734">
        <v>2.5802999999999998</v>
      </c>
    </row>
    <row r="1735" spans="1:3" x14ac:dyDescent="0.35">
      <c r="A1735" s="12">
        <v>42030</v>
      </c>
      <c r="B1735" s="12">
        <f t="shared" si="27"/>
        <v>42005</v>
      </c>
      <c r="C1735">
        <v>2.5960000000000001</v>
      </c>
    </row>
    <row r="1736" spans="1:3" x14ac:dyDescent="0.35">
      <c r="A1736" s="12">
        <v>42027</v>
      </c>
      <c r="B1736" s="12">
        <f t="shared" si="27"/>
        <v>42005</v>
      </c>
      <c r="C1736">
        <v>2.585</v>
      </c>
    </row>
    <row r="1737" spans="1:3" x14ac:dyDescent="0.35">
      <c r="A1737" s="12">
        <v>42026</v>
      </c>
      <c r="B1737" s="12">
        <f t="shared" si="27"/>
        <v>42005</v>
      </c>
      <c r="C1737">
        <v>2.5748000000000002</v>
      </c>
    </row>
    <row r="1738" spans="1:3" x14ac:dyDescent="0.35">
      <c r="A1738" s="12">
        <v>42025</v>
      </c>
      <c r="B1738" s="12">
        <f t="shared" si="27"/>
        <v>42005</v>
      </c>
      <c r="C1738">
        <v>2.5960999999999999</v>
      </c>
    </row>
    <row r="1739" spans="1:3" x14ac:dyDescent="0.35">
      <c r="A1739" s="12">
        <v>42024</v>
      </c>
      <c r="B1739" s="12">
        <f t="shared" si="27"/>
        <v>42005</v>
      </c>
      <c r="C1739">
        <v>2.6240999999999999</v>
      </c>
    </row>
    <row r="1740" spans="1:3" x14ac:dyDescent="0.35">
      <c r="A1740" s="12">
        <v>42023</v>
      </c>
      <c r="B1740" s="12">
        <f t="shared" si="27"/>
        <v>42005</v>
      </c>
      <c r="C1740">
        <v>2.6236999999999999</v>
      </c>
    </row>
    <row r="1741" spans="1:3" x14ac:dyDescent="0.35">
      <c r="A1741" s="12">
        <v>42020</v>
      </c>
      <c r="B1741" s="12">
        <f t="shared" si="27"/>
        <v>42005</v>
      </c>
      <c r="C1741">
        <v>2.6187</v>
      </c>
    </row>
    <row r="1742" spans="1:3" x14ac:dyDescent="0.35">
      <c r="A1742" s="12">
        <v>42019</v>
      </c>
      <c r="B1742" s="12">
        <f t="shared" si="27"/>
        <v>42005</v>
      </c>
      <c r="C1742">
        <v>2.6116000000000001</v>
      </c>
    </row>
    <row r="1743" spans="1:3" x14ac:dyDescent="0.35">
      <c r="A1743" s="12">
        <v>42018</v>
      </c>
      <c r="B1743" s="12">
        <f t="shared" si="27"/>
        <v>42005</v>
      </c>
      <c r="C1743">
        <v>2.6215999999999999</v>
      </c>
    </row>
    <row r="1744" spans="1:3" x14ac:dyDescent="0.35">
      <c r="A1744" s="12">
        <v>42017</v>
      </c>
      <c r="B1744" s="12">
        <f t="shared" si="27"/>
        <v>42005</v>
      </c>
      <c r="C1744">
        <v>2.6478999999999999</v>
      </c>
    </row>
    <row r="1745" spans="1:3" x14ac:dyDescent="0.35">
      <c r="A1745" s="12">
        <v>42016</v>
      </c>
      <c r="B1745" s="12">
        <f t="shared" si="27"/>
        <v>42005</v>
      </c>
      <c r="C1745">
        <v>2.6568999999999998</v>
      </c>
    </row>
    <row r="1746" spans="1:3" x14ac:dyDescent="0.35">
      <c r="A1746" s="12">
        <v>42013</v>
      </c>
      <c r="B1746" s="12">
        <f t="shared" si="27"/>
        <v>42005</v>
      </c>
      <c r="C1746">
        <v>2.6577000000000002</v>
      </c>
    </row>
    <row r="1747" spans="1:3" x14ac:dyDescent="0.35">
      <c r="A1747" s="12">
        <v>42012</v>
      </c>
      <c r="B1747" s="12">
        <f t="shared" si="27"/>
        <v>42005</v>
      </c>
      <c r="C1747">
        <v>2.6913</v>
      </c>
    </row>
    <row r="1748" spans="1:3" x14ac:dyDescent="0.35">
      <c r="A1748" s="12">
        <v>42011</v>
      </c>
      <c r="B1748" s="12">
        <f t="shared" si="27"/>
        <v>42005</v>
      </c>
      <c r="C1748">
        <v>2.6800999999999999</v>
      </c>
    </row>
    <row r="1749" spans="1:3" x14ac:dyDescent="0.35">
      <c r="A1749" s="12">
        <v>42010</v>
      </c>
      <c r="B1749" s="12">
        <f t="shared" si="27"/>
        <v>42005</v>
      </c>
      <c r="C1749">
        <v>2.7016</v>
      </c>
    </row>
    <row r="1750" spans="1:3" x14ac:dyDescent="0.35">
      <c r="A1750" s="12">
        <v>42009</v>
      </c>
      <c r="B1750" s="12">
        <f t="shared" si="27"/>
        <v>42005</v>
      </c>
      <c r="C1750">
        <v>2.7101000000000002</v>
      </c>
    </row>
    <row r="1751" spans="1:3" x14ac:dyDescent="0.35">
      <c r="A1751" s="12">
        <v>42006</v>
      </c>
      <c r="B1751" s="12">
        <f t="shared" si="27"/>
        <v>42005</v>
      </c>
      <c r="C1751">
        <v>2.6922999999999999</v>
      </c>
    </row>
    <row r="1752" spans="1:3" x14ac:dyDescent="0.35">
      <c r="A1752" s="12">
        <v>42004</v>
      </c>
      <c r="B1752" s="12">
        <f t="shared" si="27"/>
        <v>41974</v>
      </c>
      <c r="C1752">
        <v>2.6556000000000002</v>
      </c>
    </row>
    <row r="1753" spans="1:3" x14ac:dyDescent="0.35">
      <c r="A1753" s="12">
        <v>42003</v>
      </c>
      <c r="B1753" s="12">
        <f t="shared" si="27"/>
        <v>41974</v>
      </c>
      <c r="C1753">
        <v>2.6556000000000002</v>
      </c>
    </row>
    <row r="1754" spans="1:3" x14ac:dyDescent="0.35">
      <c r="A1754" s="12">
        <v>42002</v>
      </c>
      <c r="B1754" s="12">
        <f t="shared" si="27"/>
        <v>41974</v>
      </c>
      <c r="C1754">
        <v>2.6777000000000002</v>
      </c>
    </row>
    <row r="1755" spans="1:3" x14ac:dyDescent="0.35">
      <c r="A1755" s="12">
        <v>41999</v>
      </c>
      <c r="B1755" s="12">
        <f t="shared" si="27"/>
        <v>41974</v>
      </c>
      <c r="C1755">
        <v>2.6806000000000001</v>
      </c>
    </row>
    <row r="1756" spans="1:3" x14ac:dyDescent="0.35">
      <c r="A1756" s="12">
        <v>41997</v>
      </c>
      <c r="B1756" s="12">
        <f t="shared" si="27"/>
        <v>41974</v>
      </c>
      <c r="C1756">
        <v>2.6821999999999999</v>
      </c>
    </row>
    <row r="1757" spans="1:3" x14ac:dyDescent="0.35">
      <c r="A1757" s="12">
        <v>41996</v>
      </c>
      <c r="B1757" s="12">
        <f t="shared" si="27"/>
        <v>41974</v>
      </c>
      <c r="C1757">
        <v>2.6768999999999998</v>
      </c>
    </row>
    <row r="1758" spans="1:3" x14ac:dyDescent="0.35">
      <c r="A1758" s="12">
        <v>41995</v>
      </c>
      <c r="B1758" s="12">
        <f t="shared" si="27"/>
        <v>41974</v>
      </c>
      <c r="C1758">
        <v>2.6520000000000001</v>
      </c>
    </row>
    <row r="1759" spans="1:3" x14ac:dyDescent="0.35">
      <c r="A1759" s="12">
        <v>41992</v>
      </c>
      <c r="B1759" s="12">
        <f t="shared" si="27"/>
        <v>41974</v>
      </c>
      <c r="C1759">
        <v>2.6480000000000001</v>
      </c>
    </row>
    <row r="1760" spans="1:3" x14ac:dyDescent="0.35">
      <c r="A1760" s="12">
        <v>41991</v>
      </c>
      <c r="B1760" s="12">
        <f t="shared" si="27"/>
        <v>41974</v>
      </c>
      <c r="C1760">
        <v>2.6669</v>
      </c>
    </row>
    <row r="1761" spans="1:3" x14ac:dyDescent="0.35">
      <c r="A1761" s="12">
        <v>41990</v>
      </c>
      <c r="B1761" s="12">
        <f t="shared" si="27"/>
        <v>41974</v>
      </c>
      <c r="C1761">
        <v>2.7240000000000002</v>
      </c>
    </row>
    <row r="1762" spans="1:3" x14ac:dyDescent="0.35">
      <c r="A1762" s="12">
        <v>41989</v>
      </c>
      <c r="B1762" s="12">
        <f t="shared" si="27"/>
        <v>41974</v>
      </c>
      <c r="C1762">
        <v>2.7397</v>
      </c>
    </row>
    <row r="1763" spans="1:3" x14ac:dyDescent="0.35">
      <c r="A1763" s="12">
        <v>41988</v>
      </c>
      <c r="B1763" s="12">
        <f t="shared" si="27"/>
        <v>41974</v>
      </c>
      <c r="C1763">
        <v>2.6711</v>
      </c>
    </row>
    <row r="1764" spans="1:3" x14ac:dyDescent="0.35">
      <c r="A1764" s="12">
        <v>41985</v>
      </c>
      <c r="B1764" s="12">
        <f t="shared" si="27"/>
        <v>41974</v>
      </c>
      <c r="C1764">
        <v>2.6551999999999998</v>
      </c>
    </row>
    <row r="1765" spans="1:3" x14ac:dyDescent="0.35">
      <c r="A1765" s="12">
        <v>41984</v>
      </c>
      <c r="B1765" s="12">
        <f t="shared" si="27"/>
        <v>41974</v>
      </c>
      <c r="C1765">
        <v>2.6265000000000001</v>
      </c>
    </row>
    <row r="1766" spans="1:3" x14ac:dyDescent="0.35">
      <c r="A1766" s="12">
        <v>41983</v>
      </c>
      <c r="B1766" s="12">
        <f t="shared" si="27"/>
        <v>41974</v>
      </c>
      <c r="C1766">
        <v>2.5924999999999998</v>
      </c>
    </row>
    <row r="1767" spans="1:3" x14ac:dyDescent="0.35">
      <c r="A1767" s="12">
        <v>41982</v>
      </c>
      <c r="B1767" s="12">
        <f t="shared" si="27"/>
        <v>41974</v>
      </c>
      <c r="C1767">
        <v>2.601</v>
      </c>
    </row>
    <row r="1768" spans="1:3" x14ac:dyDescent="0.35">
      <c r="A1768" s="12">
        <v>41981</v>
      </c>
      <c r="B1768" s="12">
        <f t="shared" si="27"/>
        <v>41974</v>
      </c>
      <c r="C1768">
        <v>2.5916999999999999</v>
      </c>
    </row>
    <row r="1769" spans="1:3" x14ac:dyDescent="0.35">
      <c r="A1769" s="12">
        <v>41978</v>
      </c>
      <c r="B1769" s="12">
        <f t="shared" si="27"/>
        <v>41974</v>
      </c>
      <c r="C1769">
        <v>2.5882000000000001</v>
      </c>
    </row>
    <row r="1770" spans="1:3" x14ac:dyDescent="0.35">
      <c r="A1770" s="12">
        <v>41977</v>
      </c>
      <c r="B1770" s="12">
        <f t="shared" si="27"/>
        <v>41974</v>
      </c>
      <c r="C1770">
        <v>2.5790999999999999</v>
      </c>
    </row>
    <row r="1771" spans="1:3" x14ac:dyDescent="0.35">
      <c r="A1771" s="12">
        <v>41976</v>
      </c>
      <c r="B1771" s="12">
        <f t="shared" si="27"/>
        <v>41974</v>
      </c>
      <c r="C1771">
        <v>2.5600999999999998</v>
      </c>
    </row>
    <row r="1772" spans="1:3" x14ac:dyDescent="0.35">
      <c r="A1772" s="12">
        <v>41975</v>
      </c>
      <c r="B1772" s="12">
        <f t="shared" si="27"/>
        <v>41974</v>
      </c>
      <c r="C1772">
        <v>2.5657999999999999</v>
      </c>
    </row>
    <row r="1773" spans="1:3" x14ac:dyDescent="0.35">
      <c r="A1773" s="12">
        <v>41974</v>
      </c>
      <c r="B1773" s="12">
        <f t="shared" si="27"/>
        <v>41974</v>
      </c>
      <c r="C1773">
        <v>2.5617999999999999</v>
      </c>
    </row>
    <row r="1774" spans="1:3" x14ac:dyDescent="0.35">
      <c r="A1774" s="12">
        <v>41971</v>
      </c>
      <c r="B1774" s="12">
        <f t="shared" si="27"/>
        <v>41944</v>
      </c>
      <c r="C1774">
        <v>2.5594999999999999</v>
      </c>
    </row>
    <row r="1775" spans="1:3" x14ac:dyDescent="0.35">
      <c r="A1775" s="12">
        <v>41970</v>
      </c>
      <c r="B1775" s="12">
        <f t="shared" si="27"/>
        <v>41944</v>
      </c>
      <c r="C1775">
        <v>2.5059</v>
      </c>
    </row>
    <row r="1776" spans="1:3" x14ac:dyDescent="0.35">
      <c r="A1776" s="12">
        <v>41969</v>
      </c>
      <c r="B1776" s="12">
        <f t="shared" si="27"/>
        <v>41944</v>
      </c>
      <c r="C1776">
        <v>2.5097</v>
      </c>
    </row>
    <row r="1777" spans="1:3" x14ac:dyDescent="0.35">
      <c r="A1777" s="12">
        <v>41968</v>
      </c>
      <c r="B1777" s="12">
        <f t="shared" si="27"/>
        <v>41944</v>
      </c>
      <c r="C1777">
        <v>2.5230000000000001</v>
      </c>
    </row>
    <row r="1778" spans="1:3" x14ac:dyDescent="0.35">
      <c r="A1778" s="12">
        <v>41967</v>
      </c>
      <c r="B1778" s="12">
        <f t="shared" si="27"/>
        <v>41944</v>
      </c>
      <c r="C1778">
        <v>2.5276000000000001</v>
      </c>
    </row>
    <row r="1779" spans="1:3" x14ac:dyDescent="0.35">
      <c r="A1779" s="12">
        <v>41964</v>
      </c>
      <c r="B1779" s="12">
        <f t="shared" si="27"/>
        <v>41944</v>
      </c>
      <c r="C1779">
        <v>2.5384000000000002</v>
      </c>
    </row>
    <row r="1780" spans="1:3" x14ac:dyDescent="0.35">
      <c r="A1780" s="12">
        <v>41963</v>
      </c>
      <c r="B1780" s="12">
        <f t="shared" si="27"/>
        <v>41944</v>
      </c>
      <c r="C1780">
        <v>2.5539999999999998</v>
      </c>
    </row>
    <row r="1781" spans="1:3" x14ac:dyDescent="0.35">
      <c r="A1781" s="12">
        <v>41962</v>
      </c>
      <c r="B1781" s="12">
        <f t="shared" si="27"/>
        <v>41944</v>
      </c>
      <c r="C1781">
        <v>2.5842999999999998</v>
      </c>
    </row>
    <row r="1782" spans="1:3" x14ac:dyDescent="0.35">
      <c r="A1782" s="12">
        <v>41961</v>
      </c>
      <c r="B1782" s="12">
        <f t="shared" si="27"/>
        <v>41944</v>
      </c>
      <c r="C1782">
        <v>2.5960999999999999</v>
      </c>
    </row>
    <row r="1783" spans="1:3" x14ac:dyDescent="0.35">
      <c r="A1783" s="12">
        <v>41960</v>
      </c>
      <c r="B1783" s="12">
        <f t="shared" si="27"/>
        <v>41944</v>
      </c>
      <c r="C1783">
        <v>2.6029</v>
      </c>
    </row>
    <row r="1784" spans="1:3" x14ac:dyDescent="0.35">
      <c r="A1784" s="12">
        <v>41957</v>
      </c>
      <c r="B1784" s="12">
        <f t="shared" si="27"/>
        <v>41944</v>
      </c>
      <c r="C1784">
        <v>2.6128999999999998</v>
      </c>
    </row>
    <row r="1785" spans="1:3" x14ac:dyDescent="0.35">
      <c r="A1785" s="12">
        <v>41956</v>
      </c>
      <c r="B1785" s="12">
        <f t="shared" si="27"/>
        <v>41944</v>
      </c>
      <c r="C1785">
        <v>2.5718999999999999</v>
      </c>
    </row>
    <row r="1786" spans="1:3" x14ac:dyDescent="0.35">
      <c r="A1786" s="12">
        <v>41955</v>
      </c>
      <c r="B1786" s="12">
        <f t="shared" si="27"/>
        <v>41944</v>
      </c>
      <c r="C1786">
        <v>2.5543999999999998</v>
      </c>
    </row>
    <row r="1787" spans="1:3" x14ac:dyDescent="0.35">
      <c r="A1787" s="12">
        <v>41954</v>
      </c>
      <c r="B1787" s="12">
        <f t="shared" si="27"/>
        <v>41944</v>
      </c>
      <c r="C1787">
        <v>2.5638000000000001</v>
      </c>
    </row>
    <row r="1788" spans="1:3" x14ac:dyDescent="0.35">
      <c r="A1788" s="12">
        <v>41953</v>
      </c>
      <c r="B1788" s="12">
        <f t="shared" si="27"/>
        <v>41944</v>
      </c>
      <c r="C1788">
        <v>2.5384000000000002</v>
      </c>
    </row>
    <row r="1789" spans="1:3" x14ac:dyDescent="0.35">
      <c r="A1789" s="12">
        <v>41950</v>
      </c>
      <c r="B1789" s="12">
        <f t="shared" si="27"/>
        <v>41944</v>
      </c>
      <c r="C1789">
        <v>2.5714999999999999</v>
      </c>
    </row>
    <row r="1790" spans="1:3" x14ac:dyDescent="0.35">
      <c r="A1790" s="12">
        <v>41949</v>
      </c>
      <c r="B1790" s="12">
        <f t="shared" si="27"/>
        <v>41944</v>
      </c>
      <c r="C1790">
        <v>2.5318999999999998</v>
      </c>
    </row>
    <row r="1791" spans="1:3" x14ac:dyDescent="0.35">
      <c r="A1791" s="12">
        <v>41948</v>
      </c>
      <c r="B1791" s="12">
        <f t="shared" si="27"/>
        <v>41944</v>
      </c>
      <c r="C1791">
        <v>2.5162</v>
      </c>
    </row>
    <row r="1792" spans="1:3" x14ac:dyDescent="0.35">
      <c r="A1792" s="12">
        <v>41947</v>
      </c>
      <c r="B1792" s="12">
        <f t="shared" si="27"/>
        <v>41944</v>
      </c>
      <c r="C1792">
        <v>2.5188999999999999</v>
      </c>
    </row>
    <row r="1793" spans="1:3" x14ac:dyDescent="0.35">
      <c r="A1793" s="12">
        <v>41946</v>
      </c>
      <c r="B1793" s="12">
        <f t="shared" si="27"/>
        <v>41944</v>
      </c>
      <c r="C1793">
        <v>2.4832999999999998</v>
      </c>
    </row>
    <row r="1794" spans="1:3" x14ac:dyDescent="0.35">
      <c r="A1794" s="12">
        <v>41943</v>
      </c>
      <c r="B1794" s="12">
        <f t="shared" si="27"/>
        <v>41913</v>
      </c>
      <c r="C1794">
        <v>2.4436</v>
      </c>
    </row>
    <row r="1795" spans="1:3" x14ac:dyDescent="0.35">
      <c r="A1795" s="12">
        <v>41942</v>
      </c>
      <c r="B1795" s="12">
        <f t="shared" ref="B1795:B1858" si="28">DATE(YEAR(A1795),MONTH(A1795),DAY(1))</f>
        <v>41913</v>
      </c>
      <c r="C1795">
        <v>2.4113000000000002</v>
      </c>
    </row>
    <row r="1796" spans="1:3" x14ac:dyDescent="0.35">
      <c r="A1796" s="12">
        <v>41941</v>
      </c>
      <c r="B1796" s="12">
        <f t="shared" si="28"/>
        <v>41913</v>
      </c>
      <c r="C1796">
        <v>2.4340000000000002</v>
      </c>
    </row>
    <row r="1797" spans="1:3" x14ac:dyDescent="0.35">
      <c r="A1797" s="12">
        <v>41940</v>
      </c>
      <c r="B1797" s="12">
        <f t="shared" si="28"/>
        <v>41913</v>
      </c>
      <c r="C1797">
        <v>2.4863</v>
      </c>
    </row>
    <row r="1798" spans="1:3" x14ac:dyDescent="0.35">
      <c r="A1798" s="12">
        <v>41939</v>
      </c>
      <c r="B1798" s="12">
        <f t="shared" si="28"/>
        <v>41913</v>
      </c>
      <c r="C1798">
        <v>2.5335000000000001</v>
      </c>
    </row>
    <row r="1799" spans="1:3" x14ac:dyDescent="0.35">
      <c r="A1799" s="12">
        <v>41936</v>
      </c>
      <c r="B1799" s="12">
        <f t="shared" si="28"/>
        <v>41913</v>
      </c>
      <c r="C1799">
        <v>2.4799000000000002</v>
      </c>
    </row>
    <row r="1800" spans="1:3" x14ac:dyDescent="0.35">
      <c r="A1800" s="12">
        <v>41935</v>
      </c>
      <c r="B1800" s="12">
        <f t="shared" si="28"/>
        <v>41913</v>
      </c>
      <c r="C1800">
        <v>2.4998</v>
      </c>
    </row>
    <row r="1801" spans="1:3" x14ac:dyDescent="0.35">
      <c r="A1801" s="12">
        <v>41934</v>
      </c>
      <c r="B1801" s="12">
        <f t="shared" si="28"/>
        <v>41913</v>
      </c>
      <c r="C1801">
        <v>2.4775</v>
      </c>
    </row>
    <row r="1802" spans="1:3" x14ac:dyDescent="0.35">
      <c r="A1802" s="12">
        <v>41933</v>
      </c>
      <c r="B1802" s="12">
        <f t="shared" si="28"/>
        <v>41913</v>
      </c>
      <c r="C1802">
        <v>2.4790999999999999</v>
      </c>
    </row>
    <row r="1803" spans="1:3" x14ac:dyDescent="0.35">
      <c r="A1803" s="12">
        <v>41932</v>
      </c>
      <c r="B1803" s="12">
        <f t="shared" si="28"/>
        <v>41913</v>
      </c>
      <c r="C1803">
        <v>2.4548000000000001</v>
      </c>
    </row>
    <row r="1804" spans="1:3" x14ac:dyDescent="0.35">
      <c r="A1804" s="12">
        <v>41929</v>
      </c>
      <c r="B1804" s="12">
        <f t="shared" si="28"/>
        <v>41913</v>
      </c>
      <c r="C1804">
        <v>2.4470000000000001</v>
      </c>
    </row>
    <row r="1805" spans="1:3" x14ac:dyDescent="0.35">
      <c r="A1805" s="12">
        <v>41928</v>
      </c>
      <c r="B1805" s="12">
        <f t="shared" si="28"/>
        <v>41913</v>
      </c>
      <c r="C1805">
        <v>2.4763000000000002</v>
      </c>
    </row>
    <row r="1806" spans="1:3" x14ac:dyDescent="0.35">
      <c r="A1806" s="12">
        <v>41927</v>
      </c>
      <c r="B1806" s="12">
        <f t="shared" si="28"/>
        <v>41913</v>
      </c>
      <c r="C1806">
        <v>2.431</v>
      </c>
    </row>
    <row r="1807" spans="1:3" x14ac:dyDescent="0.35">
      <c r="A1807" s="12">
        <v>41926</v>
      </c>
      <c r="B1807" s="12">
        <f t="shared" si="28"/>
        <v>41913</v>
      </c>
      <c r="C1807">
        <v>2.3984999999999999</v>
      </c>
    </row>
    <row r="1808" spans="1:3" x14ac:dyDescent="0.35">
      <c r="A1808" s="12">
        <v>41925</v>
      </c>
      <c r="B1808" s="12">
        <f t="shared" si="28"/>
        <v>41913</v>
      </c>
      <c r="C1808">
        <v>2.3917000000000002</v>
      </c>
    </row>
    <row r="1809" spans="1:3" x14ac:dyDescent="0.35">
      <c r="A1809" s="12">
        <v>41922</v>
      </c>
      <c r="B1809" s="12">
        <f t="shared" si="28"/>
        <v>41913</v>
      </c>
      <c r="C1809">
        <v>2.4096000000000002</v>
      </c>
    </row>
    <row r="1810" spans="1:3" x14ac:dyDescent="0.35">
      <c r="A1810" s="12">
        <v>41921</v>
      </c>
      <c r="B1810" s="12">
        <f t="shared" si="28"/>
        <v>41913</v>
      </c>
      <c r="C1810">
        <v>2.3908</v>
      </c>
    </row>
    <row r="1811" spans="1:3" x14ac:dyDescent="0.35">
      <c r="A1811" s="12">
        <v>41920</v>
      </c>
      <c r="B1811" s="12">
        <f t="shared" si="28"/>
        <v>41913</v>
      </c>
      <c r="C1811">
        <v>2.4064999999999999</v>
      </c>
    </row>
    <row r="1812" spans="1:3" x14ac:dyDescent="0.35">
      <c r="A1812" s="12">
        <v>41919</v>
      </c>
      <c r="B1812" s="12">
        <f t="shared" si="28"/>
        <v>41913</v>
      </c>
      <c r="C1812">
        <v>2.4032</v>
      </c>
    </row>
    <row r="1813" spans="1:3" x14ac:dyDescent="0.35">
      <c r="A1813" s="12">
        <v>41918</v>
      </c>
      <c r="B1813" s="12">
        <f t="shared" si="28"/>
        <v>41913</v>
      </c>
      <c r="C1813">
        <v>2.4091999999999998</v>
      </c>
    </row>
    <row r="1814" spans="1:3" x14ac:dyDescent="0.35">
      <c r="A1814" s="12">
        <v>41915</v>
      </c>
      <c r="B1814" s="12">
        <f t="shared" si="28"/>
        <v>41913</v>
      </c>
      <c r="C1814">
        <v>2.4925999999999999</v>
      </c>
    </row>
    <row r="1815" spans="1:3" x14ac:dyDescent="0.35">
      <c r="A1815" s="12">
        <v>41914</v>
      </c>
      <c r="B1815" s="12">
        <f t="shared" si="28"/>
        <v>41913</v>
      </c>
      <c r="C1815">
        <v>2.4779</v>
      </c>
    </row>
    <row r="1816" spans="1:3" x14ac:dyDescent="0.35">
      <c r="A1816" s="12">
        <v>41913</v>
      </c>
      <c r="B1816" s="12">
        <f t="shared" si="28"/>
        <v>41913</v>
      </c>
      <c r="C1816">
        <v>2.4617</v>
      </c>
    </row>
    <row r="1817" spans="1:3" x14ac:dyDescent="0.35">
      <c r="A1817" s="12">
        <v>41912</v>
      </c>
      <c r="B1817" s="12">
        <f t="shared" si="28"/>
        <v>41883</v>
      </c>
      <c r="C1817">
        <v>2.4504000000000001</v>
      </c>
    </row>
    <row r="1818" spans="1:3" x14ac:dyDescent="0.35">
      <c r="A1818" s="12">
        <v>41911</v>
      </c>
      <c r="B1818" s="12">
        <f t="shared" si="28"/>
        <v>41883</v>
      </c>
      <c r="C1818">
        <v>2.4516</v>
      </c>
    </row>
    <row r="1819" spans="1:3" x14ac:dyDescent="0.35">
      <c r="A1819" s="12">
        <v>41908</v>
      </c>
      <c r="B1819" s="12">
        <f t="shared" si="28"/>
        <v>41883</v>
      </c>
      <c r="C1819">
        <v>2.4304000000000001</v>
      </c>
    </row>
    <row r="1820" spans="1:3" x14ac:dyDescent="0.35">
      <c r="A1820" s="12">
        <v>41907</v>
      </c>
      <c r="B1820" s="12">
        <f t="shared" si="28"/>
        <v>41883</v>
      </c>
      <c r="C1820">
        <v>2.4077999999999999</v>
      </c>
    </row>
    <row r="1821" spans="1:3" x14ac:dyDescent="0.35">
      <c r="A1821" s="12">
        <v>41906</v>
      </c>
      <c r="B1821" s="12">
        <f t="shared" si="28"/>
        <v>41883</v>
      </c>
      <c r="C1821">
        <v>2.4064000000000001</v>
      </c>
    </row>
    <row r="1822" spans="1:3" x14ac:dyDescent="0.35">
      <c r="A1822" s="12">
        <v>41905</v>
      </c>
      <c r="B1822" s="12">
        <f t="shared" si="28"/>
        <v>41883</v>
      </c>
      <c r="C1822">
        <v>2.4020000000000001</v>
      </c>
    </row>
    <row r="1823" spans="1:3" x14ac:dyDescent="0.35">
      <c r="A1823" s="12">
        <v>41904</v>
      </c>
      <c r="B1823" s="12">
        <f t="shared" si="28"/>
        <v>41883</v>
      </c>
      <c r="C1823">
        <v>2.3864000000000001</v>
      </c>
    </row>
    <row r="1824" spans="1:3" x14ac:dyDescent="0.35">
      <c r="A1824" s="12">
        <v>41901</v>
      </c>
      <c r="B1824" s="12">
        <f t="shared" si="28"/>
        <v>41883</v>
      </c>
      <c r="C1824">
        <v>2.3650000000000002</v>
      </c>
    </row>
    <row r="1825" spans="1:3" x14ac:dyDescent="0.35">
      <c r="A1825" s="12">
        <v>41900</v>
      </c>
      <c r="B1825" s="12">
        <f t="shared" si="28"/>
        <v>41883</v>
      </c>
      <c r="C1825">
        <v>2.3660999999999999</v>
      </c>
    </row>
    <row r="1826" spans="1:3" x14ac:dyDescent="0.35">
      <c r="A1826" s="12">
        <v>41899</v>
      </c>
      <c r="B1826" s="12">
        <f t="shared" si="28"/>
        <v>41883</v>
      </c>
      <c r="C1826">
        <v>2.3378000000000001</v>
      </c>
    </row>
    <row r="1827" spans="1:3" x14ac:dyDescent="0.35">
      <c r="A1827" s="12">
        <v>41898</v>
      </c>
      <c r="B1827" s="12">
        <f t="shared" si="28"/>
        <v>41883</v>
      </c>
      <c r="C1827">
        <v>2.3344999999999998</v>
      </c>
    </row>
    <row r="1828" spans="1:3" x14ac:dyDescent="0.35">
      <c r="A1828" s="12">
        <v>41897</v>
      </c>
      <c r="B1828" s="12">
        <f t="shared" si="28"/>
        <v>41883</v>
      </c>
      <c r="C1828">
        <v>2.3395000000000001</v>
      </c>
    </row>
    <row r="1829" spans="1:3" x14ac:dyDescent="0.35">
      <c r="A1829" s="12">
        <v>41894</v>
      </c>
      <c r="B1829" s="12">
        <f t="shared" si="28"/>
        <v>41883</v>
      </c>
      <c r="C1829">
        <v>2.3243999999999998</v>
      </c>
    </row>
    <row r="1830" spans="1:3" x14ac:dyDescent="0.35">
      <c r="A1830" s="12">
        <v>41893</v>
      </c>
      <c r="B1830" s="12">
        <f t="shared" si="28"/>
        <v>41883</v>
      </c>
      <c r="C1830">
        <v>2.2873999999999999</v>
      </c>
    </row>
    <row r="1831" spans="1:3" x14ac:dyDescent="0.35">
      <c r="A1831" s="12">
        <v>41892</v>
      </c>
      <c r="B1831" s="12">
        <f t="shared" si="28"/>
        <v>41883</v>
      </c>
      <c r="C1831">
        <v>2.2961</v>
      </c>
    </row>
    <row r="1832" spans="1:3" x14ac:dyDescent="0.35">
      <c r="A1832" s="12">
        <v>41891</v>
      </c>
      <c r="B1832" s="12">
        <f t="shared" si="28"/>
        <v>41883</v>
      </c>
      <c r="C1832">
        <v>2.2806999999999999</v>
      </c>
    </row>
    <row r="1833" spans="1:3" x14ac:dyDescent="0.35">
      <c r="A1833" s="12">
        <v>41890</v>
      </c>
      <c r="B1833" s="12">
        <f t="shared" si="28"/>
        <v>41883</v>
      </c>
      <c r="C1833">
        <v>2.2484999999999999</v>
      </c>
    </row>
    <row r="1834" spans="1:3" x14ac:dyDescent="0.35">
      <c r="A1834" s="12">
        <v>41887</v>
      </c>
      <c r="B1834" s="12">
        <f t="shared" si="28"/>
        <v>41883</v>
      </c>
      <c r="C1834">
        <v>2.2410000000000001</v>
      </c>
    </row>
    <row r="1835" spans="1:3" x14ac:dyDescent="0.35">
      <c r="A1835" s="12">
        <v>41886</v>
      </c>
      <c r="B1835" s="12">
        <f t="shared" si="28"/>
        <v>41883</v>
      </c>
      <c r="C1835">
        <v>2.2349999999999999</v>
      </c>
    </row>
    <row r="1836" spans="1:3" x14ac:dyDescent="0.35">
      <c r="A1836" s="12">
        <v>41885</v>
      </c>
      <c r="B1836" s="12">
        <f t="shared" si="28"/>
        <v>41883</v>
      </c>
      <c r="C1836">
        <v>2.2313000000000001</v>
      </c>
    </row>
    <row r="1837" spans="1:3" x14ac:dyDescent="0.35">
      <c r="A1837" s="12">
        <v>41884</v>
      </c>
      <c r="B1837" s="12">
        <f t="shared" si="28"/>
        <v>41883</v>
      </c>
      <c r="C1837">
        <v>2.2515000000000001</v>
      </c>
    </row>
    <row r="1838" spans="1:3" x14ac:dyDescent="0.35">
      <c r="A1838" s="12">
        <v>41883</v>
      </c>
      <c r="B1838" s="12">
        <f t="shared" si="28"/>
        <v>41883</v>
      </c>
      <c r="C1838">
        <v>2.2357999999999998</v>
      </c>
    </row>
    <row r="1839" spans="1:3" x14ac:dyDescent="0.35">
      <c r="A1839" s="12">
        <v>41880</v>
      </c>
      <c r="B1839" s="12">
        <f t="shared" si="28"/>
        <v>41852</v>
      </c>
      <c r="C1839">
        <v>2.2389999999999999</v>
      </c>
    </row>
    <row r="1840" spans="1:3" x14ac:dyDescent="0.35">
      <c r="A1840" s="12">
        <v>41879</v>
      </c>
      <c r="B1840" s="12">
        <f t="shared" si="28"/>
        <v>41852</v>
      </c>
      <c r="C1840">
        <v>2.2492999999999999</v>
      </c>
    </row>
    <row r="1841" spans="1:3" x14ac:dyDescent="0.35">
      <c r="A1841" s="12">
        <v>41878</v>
      </c>
      <c r="B1841" s="12">
        <f t="shared" si="28"/>
        <v>41852</v>
      </c>
      <c r="C1841">
        <v>2.2585000000000002</v>
      </c>
    </row>
    <row r="1842" spans="1:3" x14ac:dyDescent="0.35">
      <c r="A1842" s="12">
        <v>41877</v>
      </c>
      <c r="B1842" s="12">
        <f t="shared" si="28"/>
        <v>41852</v>
      </c>
      <c r="C1842">
        <v>2.2742</v>
      </c>
    </row>
    <row r="1843" spans="1:3" x14ac:dyDescent="0.35">
      <c r="A1843" s="12">
        <v>41876</v>
      </c>
      <c r="B1843" s="12">
        <f t="shared" si="28"/>
        <v>41852</v>
      </c>
      <c r="C1843">
        <v>2.2801999999999998</v>
      </c>
    </row>
    <row r="1844" spans="1:3" x14ac:dyDescent="0.35">
      <c r="A1844" s="12">
        <v>41873</v>
      </c>
      <c r="B1844" s="12">
        <f t="shared" si="28"/>
        <v>41852</v>
      </c>
      <c r="C1844">
        <v>2.2772000000000001</v>
      </c>
    </row>
    <row r="1845" spans="1:3" x14ac:dyDescent="0.35">
      <c r="A1845" s="12">
        <v>41872</v>
      </c>
      <c r="B1845" s="12">
        <f t="shared" si="28"/>
        <v>41852</v>
      </c>
      <c r="C1845">
        <v>2.2576000000000001</v>
      </c>
    </row>
    <row r="1846" spans="1:3" x14ac:dyDescent="0.35">
      <c r="A1846" s="12">
        <v>41871</v>
      </c>
      <c r="B1846" s="12">
        <f t="shared" si="28"/>
        <v>41852</v>
      </c>
      <c r="C1846">
        <v>2.2544</v>
      </c>
    </row>
    <row r="1847" spans="1:3" x14ac:dyDescent="0.35">
      <c r="A1847" s="12">
        <v>41870</v>
      </c>
      <c r="B1847" s="12">
        <f t="shared" si="28"/>
        <v>41852</v>
      </c>
      <c r="C1847">
        <v>2.2581000000000002</v>
      </c>
    </row>
    <row r="1848" spans="1:3" x14ac:dyDescent="0.35">
      <c r="A1848" s="12">
        <v>41869</v>
      </c>
      <c r="B1848" s="12">
        <f t="shared" si="28"/>
        <v>41852</v>
      </c>
      <c r="C1848">
        <v>2.2589000000000001</v>
      </c>
    </row>
    <row r="1849" spans="1:3" x14ac:dyDescent="0.35">
      <c r="A1849" s="12">
        <v>41866</v>
      </c>
      <c r="B1849" s="12">
        <f t="shared" si="28"/>
        <v>41852</v>
      </c>
      <c r="C1849">
        <v>2.2684000000000002</v>
      </c>
    </row>
    <row r="1850" spans="1:3" x14ac:dyDescent="0.35">
      <c r="A1850" s="12">
        <v>41865</v>
      </c>
      <c r="B1850" s="12">
        <f t="shared" si="28"/>
        <v>41852</v>
      </c>
      <c r="C1850">
        <v>2.2696999999999998</v>
      </c>
    </row>
    <row r="1851" spans="1:3" x14ac:dyDescent="0.35">
      <c r="A1851" s="12">
        <v>41864</v>
      </c>
      <c r="B1851" s="12">
        <f t="shared" si="28"/>
        <v>41852</v>
      </c>
      <c r="C1851">
        <v>2.2686000000000002</v>
      </c>
    </row>
    <row r="1852" spans="1:3" x14ac:dyDescent="0.35">
      <c r="A1852" s="12">
        <v>41863</v>
      </c>
      <c r="B1852" s="12">
        <f t="shared" si="28"/>
        <v>41852</v>
      </c>
      <c r="C1852">
        <v>2.2764000000000002</v>
      </c>
    </row>
    <row r="1853" spans="1:3" x14ac:dyDescent="0.35">
      <c r="A1853" s="12">
        <v>41862</v>
      </c>
      <c r="B1853" s="12">
        <f t="shared" si="28"/>
        <v>41852</v>
      </c>
      <c r="C1853">
        <v>2.2772999999999999</v>
      </c>
    </row>
    <row r="1854" spans="1:3" x14ac:dyDescent="0.35">
      <c r="A1854" s="12">
        <v>41859</v>
      </c>
      <c r="B1854" s="12">
        <f t="shared" si="28"/>
        <v>41852</v>
      </c>
      <c r="C1854">
        <v>2.298</v>
      </c>
    </row>
    <row r="1855" spans="1:3" x14ac:dyDescent="0.35">
      <c r="A1855" s="12">
        <v>41858</v>
      </c>
      <c r="B1855" s="12">
        <f t="shared" si="28"/>
        <v>41852</v>
      </c>
      <c r="C1855">
        <v>2.2795999999999998</v>
      </c>
    </row>
    <row r="1856" spans="1:3" x14ac:dyDescent="0.35">
      <c r="A1856" s="12">
        <v>41857</v>
      </c>
      <c r="B1856" s="12">
        <f t="shared" si="28"/>
        <v>41852</v>
      </c>
      <c r="C1856">
        <v>2.2784</v>
      </c>
    </row>
    <row r="1857" spans="1:3" x14ac:dyDescent="0.35">
      <c r="A1857" s="12">
        <v>41856</v>
      </c>
      <c r="B1857" s="12">
        <f t="shared" si="28"/>
        <v>41852</v>
      </c>
      <c r="C1857">
        <v>2.2749999999999999</v>
      </c>
    </row>
    <row r="1858" spans="1:3" x14ac:dyDescent="0.35">
      <c r="A1858" s="12">
        <v>41855</v>
      </c>
      <c r="B1858" s="12">
        <f t="shared" si="28"/>
        <v>41852</v>
      </c>
      <c r="C1858">
        <v>2.2570999999999999</v>
      </c>
    </row>
    <row r="1859" spans="1:3" x14ac:dyDescent="0.35">
      <c r="A1859" s="12">
        <v>41852</v>
      </c>
      <c r="B1859" s="12">
        <f t="shared" ref="B1859:B1922" si="29">DATE(YEAR(A1859),MONTH(A1859),DAY(1))</f>
        <v>41852</v>
      </c>
      <c r="C1859">
        <v>2.2599999999999998</v>
      </c>
    </row>
    <row r="1860" spans="1:3" x14ac:dyDescent="0.35">
      <c r="A1860" s="12">
        <v>41851</v>
      </c>
      <c r="B1860" s="12">
        <f t="shared" si="29"/>
        <v>41821</v>
      </c>
      <c r="C1860">
        <v>2.2667999999999999</v>
      </c>
    </row>
    <row r="1861" spans="1:3" x14ac:dyDescent="0.35">
      <c r="A1861" s="12">
        <v>41850</v>
      </c>
      <c r="B1861" s="12">
        <f t="shared" si="29"/>
        <v>41821</v>
      </c>
      <c r="C1861">
        <v>2.2441</v>
      </c>
    </row>
    <row r="1862" spans="1:3" x14ac:dyDescent="0.35">
      <c r="A1862" s="12">
        <v>41849</v>
      </c>
      <c r="B1862" s="12">
        <f t="shared" si="29"/>
        <v>41821</v>
      </c>
      <c r="C1862">
        <v>2.2271999999999998</v>
      </c>
    </row>
    <row r="1863" spans="1:3" x14ac:dyDescent="0.35">
      <c r="A1863" s="12">
        <v>41848</v>
      </c>
      <c r="B1863" s="12">
        <f t="shared" si="29"/>
        <v>41821</v>
      </c>
      <c r="C1863">
        <v>2.2296</v>
      </c>
    </row>
    <row r="1864" spans="1:3" x14ac:dyDescent="0.35">
      <c r="A1864" s="12">
        <v>41845</v>
      </c>
      <c r="B1864" s="12">
        <f t="shared" si="29"/>
        <v>41821</v>
      </c>
      <c r="C1864">
        <v>2.2286999999999999</v>
      </c>
    </row>
    <row r="1865" spans="1:3" x14ac:dyDescent="0.35">
      <c r="A1865" s="12">
        <v>41844</v>
      </c>
      <c r="B1865" s="12">
        <f t="shared" si="29"/>
        <v>41821</v>
      </c>
      <c r="C1865">
        <v>2.2198000000000002</v>
      </c>
    </row>
    <row r="1866" spans="1:3" x14ac:dyDescent="0.35">
      <c r="A1866" s="12">
        <v>41843</v>
      </c>
      <c r="B1866" s="12">
        <f t="shared" si="29"/>
        <v>41821</v>
      </c>
      <c r="C1866">
        <v>2.2195999999999998</v>
      </c>
    </row>
    <row r="1867" spans="1:3" x14ac:dyDescent="0.35">
      <c r="A1867" s="12">
        <v>41842</v>
      </c>
      <c r="B1867" s="12">
        <f t="shared" si="29"/>
        <v>41821</v>
      </c>
      <c r="C1867">
        <v>2.2122999999999999</v>
      </c>
    </row>
    <row r="1868" spans="1:3" x14ac:dyDescent="0.35">
      <c r="A1868" s="12">
        <v>41841</v>
      </c>
      <c r="B1868" s="12">
        <f t="shared" si="29"/>
        <v>41821</v>
      </c>
      <c r="C1868">
        <v>2.2231999999999998</v>
      </c>
    </row>
    <row r="1869" spans="1:3" x14ac:dyDescent="0.35">
      <c r="A1869" s="12">
        <v>41838</v>
      </c>
      <c r="B1869" s="12">
        <f t="shared" si="29"/>
        <v>41821</v>
      </c>
      <c r="C1869">
        <v>2.2355999999999998</v>
      </c>
    </row>
    <row r="1870" spans="1:3" x14ac:dyDescent="0.35">
      <c r="A1870" s="12">
        <v>41837</v>
      </c>
      <c r="B1870" s="12">
        <f t="shared" si="29"/>
        <v>41821</v>
      </c>
      <c r="C1870">
        <v>2.2397</v>
      </c>
    </row>
    <row r="1871" spans="1:3" x14ac:dyDescent="0.35">
      <c r="A1871" s="12">
        <v>41836</v>
      </c>
      <c r="B1871" s="12">
        <f t="shared" si="29"/>
        <v>41821</v>
      </c>
      <c r="C1871">
        <v>2.2187000000000001</v>
      </c>
    </row>
    <row r="1872" spans="1:3" x14ac:dyDescent="0.35">
      <c r="A1872" s="12">
        <v>41835</v>
      </c>
      <c r="B1872" s="12">
        <f t="shared" si="29"/>
        <v>41821</v>
      </c>
      <c r="C1872">
        <v>2.2189000000000001</v>
      </c>
    </row>
    <row r="1873" spans="1:3" x14ac:dyDescent="0.35">
      <c r="A1873" s="12">
        <v>41834</v>
      </c>
      <c r="B1873" s="12">
        <f t="shared" si="29"/>
        <v>41821</v>
      </c>
      <c r="C1873">
        <v>2.2170000000000001</v>
      </c>
    </row>
    <row r="1874" spans="1:3" x14ac:dyDescent="0.35">
      <c r="A1874" s="12">
        <v>41831</v>
      </c>
      <c r="B1874" s="12">
        <f t="shared" si="29"/>
        <v>41821</v>
      </c>
      <c r="C1874">
        <v>2.2222</v>
      </c>
    </row>
    <row r="1875" spans="1:3" x14ac:dyDescent="0.35">
      <c r="A1875" s="12">
        <v>41830</v>
      </c>
      <c r="B1875" s="12">
        <f t="shared" si="29"/>
        <v>41821</v>
      </c>
      <c r="C1875">
        <v>2.2231000000000001</v>
      </c>
    </row>
    <row r="1876" spans="1:3" x14ac:dyDescent="0.35">
      <c r="A1876" s="12">
        <v>41829</v>
      </c>
      <c r="B1876" s="12">
        <f t="shared" si="29"/>
        <v>41821</v>
      </c>
      <c r="C1876">
        <v>2.2128000000000001</v>
      </c>
    </row>
    <row r="1877" spans="1:3" x14ac:dyDescent="0.35">
      <c r="A1877" s="12">
        <v>41828</v>
      </c>
      <c r="B1877" s="12">
        <f t="shared" si="29"/>
        <v>41821</v>
      </c>
      <c r="C1877">
        <v>2.2143999999999999</v>
      </c>
    </row>
    <row r="1878" spans="1:3" x14ac:dyDescent="0.35">
      <c r="A1878" s="12">
        <v>41827</v>
      </c>
      <c r="B1878" s="12">
        <f t="shared" si="29"/>
        <v>41821</v>
      </c>
      <c r="C1878">
        <v>2.2195</v>
      </c>
    </row>
    <row r="1879" spans="1:3" x14ac:dyDescent="0.35">
      <c r="A1879" s="12">
        <v>41824</v>
      </c>
      <c r="B1879" s="12">
        <f t="shared" si="29"/>
        <v>41821</v>
      </c>
      <c r="C1879">
        <v>2.2143000000000002</v>
      </c>
    </row>
    <row r="1880" spans="1:3" x14ac:dyDescent="0.35">
      <c r="A1880" s="12">
        <v>41823</v>
      </c>
      <c r="B1880" s="12">
        <f t="shared" si="29"/>
        <v>41821</v>
      </c>
      <c r="C1880">
        <v>2.2275</v>
      </c>
    </row>
    <row r="1881" spans="1:3" x14ac:dyDescent="0.35">
      <c r="A1881" s="12">
        <v>41822</v>
      </c>
      <c r="B1881" s="12">
        <f t="shared" si="29"/>
        <v>41821</v>
      </c>
      <c r="C1881">
        <v>2.2126999999999999</v>
      </c>
    </row>
    <row r="1882" spans="1:3" x14ac:dyDescent="0.35">
      <c r="A1882" s="12">
        <v>41821</v>
      </c>
      <c r="B1882" s="12">
        <f t="shared" si="29"/>
        <v>41821</v>
      </c>
      <c r="C1882">
        <v>2.2048000000000001</v>
      </c>
    </row>
    <row r="1883" spans="1:3" x14ac:dyDescent="0.35">
      <c r="A1883" s="12">
        <v>41820</v>
      </c>
      <c r="B1883" s="12">
        <f t="shared" si="29"/>
        <v>41791</v>
      </c>
      <c r="C1883">
        <v>2.2019000000000002</v>
      </c>
    </row>
    <row r="1884" spans="1:3" x14ac:dyDescent="0.35">
      <c r="A1884" s="12">
        <v>41817</v>
      </c>
      <c r="B1884" s="12">
        <f t="shared" si="29"/>
        <v>41791</v>
      </c>
      <c r="C1884">
        <v>2.1968999999999999</v>
      </c>
    </row>
    <row r="1885" spans="1:3" x14ac:dyDescent="0.35">
      <c r="A1885" s="12">
        <v>41816</v>
      </c>
      <c r="B1885" s="12">
        <f t="shared" si="29"/>
        <v>41791</v>
      </c>
      <c r="C1885">
        <v>2.2082999999999999</v>
      </c>
    </row>
    <row r="1886" spans="1:3" x14ac:dyDescent="0.35">
      <c r="A1886" s="12">
        <v>41815</v>
      </c>
      <c r="B1886" s="12">
        <f t="shared" si="29"/>
        <v>41791</v>
      </c>
      <c r="C1886">
        <v>2.2046000000000001</v>
      </c>
    </row>
    <row r="1887" spans="1:3" x14ac:dyDescent="0.35">
      <c r="A1887" s="12">
        <v>41814</v>
      </c>
      <c r="B1887" s="12">
        <f t="shared" si="29"/>
        <v>41791</v>
      </c>
      <c r="C1887">
        <v>2.2210999999999999</v>
      </c>
    </row>
    <row r="1888" spans="1:3" x14ac:dyDescent="0.35">
      <c r="A1888" s="12">
        <v>41813</v>
      </c>
      <c r="B1888" s="12">
        <f t="shared" si="29"/>
        <v>41791</v>
      </c>
      <c r="C1888">
        <v>2.2189000000000001</v>
      </c>
    </row>
    <row r="1889" spans="1:3" x14ac:dyDescent="0.35">
      <c r="A1889" s="12">
        <v>41810</v>
      </c>
      <c r="B1889" s="12">
        <f t="shared" si="29"/>
        <v>41791</v>
      </c>
      <c r="C1889">
        <v>2.2374000000000001</v>
      </c>
    </row>
    <row r="1890" spans="1:3" x14ac:dyDescent="0.35">
      <c r="A1890" s="12">
        <v>41808</v>
      </c>
      <c r="B1890" s="12">
        <f t="shared" si="29"/>
        <v>41791</v>
      </c>
      <c r="C1890">
        <v>2.2528000000000001</v>
      </c>
    </row>
    <row r="1891" spans="1:3" x14ac:dyDescent="0.35">
      <c r="A1891" s="12">
        <v>41807</v>
      </c>
      <c r="B1891" s="12">
        <f t="shared" si="29"/>
        <v>41791</v>
      </c>
      <c r="C1891">
        <v>2.2480000000000002</v>
      </c>
    </row>
    <row r="1892" spans="1:3" x14ac:dyDescent="0.35">
      <c r="A1892" s="12">
        <v>41806</v>
      </c>
      <c r="B1892" s="12">
        <f t="shared" si="29"/>
        <v>41791</v>
      </c>
      <c r="C1892">
        <v>2.2307000000000001</v>
      </c>
    </row>
    <row r="1893" spans="1:3" x14ac:dyDescent="0.35">
      <c r="A1893" s="12">
        <v>41803</v>
      </c>
      <c r="B1893" s="12">
        <f t="shared" si="29"/>
        <v>41791</v>
      </c>
      <c r="C1893">
        <v>2.2341000000000002</v>
      </c>
    </row>
    <row r="1894" spans="1:3" x14ac:dyDescent="0.35">
      <c r="A1894" s="12">
        <v>41802</v>
      </c>
      <c r="B1894" s="12">
        <f t="shared" si="29"/>
        <v>41791</v>
      </c>
      <c r="C1894">
        <v>2.2298</v>
      </c>
    </row>
    <row r="1895" spans="1:3" x14ac:dyDescent="0.35">
      <c r="A1895" s="12">
        <v>41801</v>
      </c>
      <c r="B1895" s="12">
        <f t="shared" si="29"/>
        <v>41791</v>
      </c>
      <c r="C1895">
        <v>2.2301000000000002</v>
      </c>
    </row>
    <row r="1896" spans="1:3" x14ac:dyDescent="0.35">
      <c r="A1896" s="12">
        <v>41800</v>
      </c>
      <c r="B1896" s="12">
        <f t="shared" si="29"/>
        <v>41791</v>
      </c>
      <c r="C1896">
        <v>2.2290000000000001</v>
      </c>
    </row>
    <row r="1897" spans="1:3" x14ac:dyDescent="0.35">
      <c r="A1897" s="12">
        <v>41799</v>
      </c>
      <c r="B1897" s="12">
        <f t="shared" si="29"/>
        <v>41791</v>
      </c>
      <c r="C1897">
        <v>2.2330000000000001</v>
      </c>
    </row>
    <row r="1898" spans="1:3" x14ac:dyDescent="0.35">
      <c r="A1898" s="12">
        <v>41796</v>
      </c>
      <c r="B1898" s="12">
        <f t="shared" si="29"/>
        <v>41791</v>
      </c>
      <c r="C1898">
        <v>2.2439</v>
      </c>
    </row>
    <row r="1899" spans="1:3" x14ac:dyDescent="0.35">
      <c r="A1899" s="12">
        <v>41795</v>
      </c>
      <c r="B1899" s="12">
        <f t="shared" si="29"/>
        <v>41791</v>
      </c>
      <c r="C1899">
        <v>2.2688999999999999</v>
      </c>
    </row>
    <row r="1900" spans="1:3" x14ac:dyDescent="0.35">
      <c r="A1900" s="12">
        <v>41794</v>
      </c>
      <c r="B1900" s="12">
        <f t="shared" si="29"/>
        <v>41791</v>
      </c>
      <c r="C1900">
        <v>2.2795999999999998</v>
      </c>
    </row>
    <row r="1901" spans="1:3" x14ac:dyDescent="0.35">
      <c r="A1901" s="12">
        <v>41793</v>
      </c>
      <c r="B1901" s="12">
        <f t="shared" si="29"/>
        <v>41791</v>
      </c>
      <c r="C1901">
        <v>2.2648000000000001</v>
      </c>
    </row>
    <row r="1902" spans="1:3" x14ac:dyDescent="0.35">
      <c r="A1902" s="12">
        <v>41792</v>
      </c>
      <c r="B1902" s="12">
        <f t="shared" si="29"/>
        <v>41791</v>
      </c>
      <c r="C1902">
        <v>2.2633999999999999</v>
      </c>
    </row>
    <row r="1903" spans="1:3" x14ac:dyDescent="0.35">
      <c r="A1903" s="12">
        <v>41789</v>
      </c>
      <c r="B1903" s="12">
        <f t="shared" si="29"/>
        <v>41760</v>
      </c>
      <c r="C1903">
        <v>2.2383999999999999</v>
      </c>
    </row>
    <row r="1904" spans="1:3" x14ac:dyDescent="0.35">
      <c r="A1904" s="12">
        <v>41788</v>
      </c>
      <c r="B1904" s="12">
        <f t="shared" si="29"/>
        <v>41760</v>
      </c>
      <c r="C1904">
        <v>2.2244999999999999</v>
      </c>
    </row>
    <row r="1905" spans="1:3" x14ac:dyDescent="0.35">
      <c r="A1905" s="12">
        <v>41787</v>
      </c>
      <c r="B1905" s="12">
        <f t="shared" si="29"/>
        <v>41760</v>
      </c>
      <c r="C1905">
        <v>2.2399</v>
      </c>
    </row>
    <row r="1906" spans="1:3" x14ac:dyDescent="0.35">
      <c r="A1906" s="12">
        <v>41786</v>
      </c>
      <c r="B1906" s="12">
        <f t="shared" si="29"/>
        <v>41760</v>
      </c>
      <c r="C1906">
        <v>2.2347999999999999</v>
      </c>
    </row>
    <row r="1907" spans="1:3" x14ac:dyDescent="0.35">
      <c r="A1907" s="12">
        <v>41785</v>
      </c>
      <c r="B1907" s="12">
        <f t="shared" si="29"/>
        <v>41760</v>
      </c>
      <c r="C1907">
        <v>2.2202999999999999</v>
      </c>
    </row>
    <row r="1908" spans="1:3" x14ac:dyDescent="0.35">
      <c r="A1908" s="12">
        <v>41782</v>
      </c>
      <c r="B1908" s="12">
        <f t="shared" si="29"/>
        <v>41760</v>
      </c>
      <c r="C1908">
        <v>2.2181000000000002</v>
      </c>
    </row>
    <row r="1909" spans="1:3" x14ac:dyDescent="0.35">
      <c r="A1909" s="12">
        <v>41781</v>
      </c>
      <c r="B1909" s="12">
        <f t="shared" si="29"/>
        <v>41760</v>
      </c>
      <c r="C1909">
        <v>2.2124999999999999</v>
      </c>
    </row>
    <row r="1910" spans="1:3" x14ac:dyDescent="0.35">
      <c r="A1910" s="12">
        <v>41780</v>
      </c>
      <c r="B1910" s="12">
        <f t="shared" si="29"/>
        <v>41760</v>
      </c>
      <c r="C1910">
        <v>2.2105000000000001</v>
      </c>
    </row>
    <row r="1911" spans="1:3" x14ac:dyDescent="0.35">
      <c r="A1911" s="12">
        <v>41779</v>
      </c>
      <c r="B1911" s="12">
        <f t="shared" si="29"/>
        <v>41760</v>
      </c>
      <c r="C1911">
        <v>2.2149999999999999</v>
      </c>
    </row>
    <row r="1912" spans="1:3" x14ac:dyDescent="0.35">
      <c r="A1912" s="12">
        <v>41778</v>
      </c>
      <c r="B1912" s="12">
        <f t="shared" si="29"/>
        <v>41760</v>
      </c>
      <c r="C1912">
        <v>2.2105000000000001</v>
      </c>
    </row>
    <row r="1913" spans="1:3" x14ac:dyDescent="0.35">
      <c r="A1913" s="12">
        <v>41775</v>
      </c>
      <c r="B1913" s="12">
        <f t="shared" si="29"/>
        <v>41760</v>
      </c>
      <c r="C1913">
        <v>2.2103999999999999</v>
      </c>
    </row>
    <row r="1914" spans="1:3" x14ac:dyDescent="0.35">
      <c r="A1914" s="12">
        <v>41774</v>
      </c>
      <c r="B1914" s="12">
        <f t="shared" si="29"/>
        <v>41760</v>
      </c>
      <c r="C1914">
        <v>2.2160000000000002</v>
      </c>
    </row>
    <row r="1915" spans="1:3" x14ac:dyDescent="0.35">
      <c r="A1915" s="12">
        <v>41773</v>
      </c>
      <c r="B1915" s="12">
        <f t="shared" si="29"/>
        <v>41760</v>
      </c>
      <c r="C1915">
        <v>2.2122999999999999</v>
      </c>
    </row>
    <row r="1916" spans="1:3" x14ac:dyDescent="0.35">
      <c r="A1916" s="12">
        <v>41772</v>
      </c>
      <c r="B1916" s="12">
        <f t="shared" si="29"/>
        <v>41760</v>
      </c>
      <c r="C1916">
        <v>2.2094999999999998</v>
      </c>
    </row>
    <row r="1917" spans="1:3" x14ac:dyDescent="0.35">
      <c r="A1917" s="12">
        <v>41771</v>
      </c>
      <c r="B1917" s="12">
        <f t="shared" si="29"/>
        <v>41760</v>
      </c>
      <c r="C1917">
        <v>2.2158000000000002</v>
      </c>
    </row>
    <row r="1918" spans="1:3" x14ac:dyDescent="0.35">
      <c r="A1918" s="12">
        <v>41768</v>
      </c>
      <c r="B1918" s="12">
        <f t="shared" si="29"/>
        <v>41760</v>
      </c>
      <c r="C1918">
        <v>2.2185999999999999</v>
      </c>
    </row>
    <row r="1919" spans="1:3" x14ac:dyDescent="0.35">
      <c r="A1919" s="12">
        <v>41767</v>
      </c>
      <c r="B1919" s="12">
        <f t="shared" si="29"/>
        <v>41760</v>
      </c>
      <c r="C1919">
        <v>2.2101000000000002</v>
      </c>
    </row>
    <row r="1920" spans="1:3" x14ac:dyDescent="0.35">
      <c r="A1920" s="12">
        <v>41766</v>
      </c>
      <c r="B1920" s="12">
        <f t="shared" si="29"/>
        <v>41760</v>
      </c>
      <c r="C1920">
        <v>2.2275999999999998</v>
      </c>
    </row>
    <row r="1921" spans="1:3" x14ac:dyDescent="0.35">
      <c r="A1921" s="12">
        <v>41765</v>
      </c>
      <c r="B1921" s="12">
        <f t="shared" si="29"/>
        <v>41760</v>
      </c>
      <c r="C1921">
        <v>2.2315999999999998</v>
      </c>
    </row>
    <row r="1922" spans="1:3" x14ac:dyDescent="0.35">
      <c r="A1922" s="12">
        <v>41764</v>
      </c>
      <c r="B1922" s="12">
        <f t="shared" si="29"/>
        <v>41760</v>
      </c>
      <c r="C1922">
        <v>2.2280000000000002</v>
      </c>
    </row>
    <row r="1923" spans="1:3" x14ac:dyDescent="0.35">
      <c r="A1923" s="12">
        <v>41761</v>
      </c>
      <c r="B1923" s="12">
        <f t="shared" ref="B1923:B1986" si="30">DATE(YEAR(A1923),MONTH(A1923),DAY(1))</f>
        <v>41760</v>
      </c>
      <c r="C1923">
        <v>2.2214999999999998</v>
      </c>
    </row>
    <row r="1924" spans="1:3" x14ac:dyDescent="0.35">
      <c r="A1924" s="12">
        <v>41759</v>
      </c>
      <c r="B1924" s="12">
        <f t="shared" si="30"/>
        <v>41730</v>
      </c>
      <c r="C1924">
        <v>2.2353999999999998</v>
      </c>
    </row>
    <row r="1925" spans="1:3" x14ac:dyDescent="0.35">
      <c r="A1925" s="12">
        <v>41758</v>
      </c>
      <c r="B1925" s="12">
        <f t="shared" si="30"/>
        <v>41730</v>
      </c>
      <c r="C1925">
        <v>2.2193000000000001</v>
      </c>
    </row>
    <row r="1926" spans="1:3" x14ac:dyDescent="0.35">
      <c r="A1926" s="12">
        <v>41757</v>
      </c>
      <c r="B1926" s="12">
        <f t="shared" si="30"/>
        <v>41730</v>
      </c>
      <c r="C1926">
        <v>2.2364000000000002</v>
      </c>
    </row>
    <row r="1927" spans="1:3" x14ac:dyDescent="0.35">
      <c r="A1927" s="12">
        <v>41754</v>
      </c>
      <c r="B1927" s="12">
        <f t="shared" si="30"/>
        <v>41730</v>
      </c>
      <c r="C1927">
        <v>2.2319</v>
      </c>
    </row>
    <row r="1928" spans="1:3" x14ac:dyDescent="0.35">
      <c r="A1928" s="12">
        <v>41753</v>
      </c>
      <c r="B1928" s="12">
        <f t="shared" si="30"/>
        <v>41730</v>
      </c>
      <c r="C1928">
        <v>2.2223000000000002</v>
      </c>
    </row>
    <row r="1929" spans="1:3" x14ac:dyDescent="0.35">
      <c r="A1929" s="12">
        <v>41752</v>
      </c>
      <c r="B1929" s="12">
        <f t="shared" si="30"/>
        <v>41730</v>
      </c>
      <c r="C1929">
        <v>2.242</v>
      </c>
    </row>
    <row r="1930" spans="1:3" x14ac:dyDescent="0.35">
      <c r="A1930" s="12">
        <v>41751</v>
      </c>
      <c r="B1930" s="12">
        <f t="shared" si="30"/>
        <v>41730</v>
      </c>
      <c r="C1930">
        <v>2.2443</v>
      </c>
    </row>
    <row r="1931" spans="1:3" x14ac:dyDescent="0.35">
      <c r="A1931" s="12">
        <v>41746</v>
      </c>
      <c r="B1931" s="12">
        <f t="shared" si="30"/>
        <v>41730</v>
      </c>
      <c r="C1931">
        <v>2.2475999999999998</v>
      </c>
    </row>
    <row r="1932" spans="1:3" x14ac:dyDescent="0.35">
      <c r="A1932" s="12">
        <v>41745</v>
      </c>
      <c r="B1932" s="12">
        <f t="shared" si="30"/>
        <v>41730</v>
      </c>
      <c r="C1932">
        <v>2.2336</v>
      </c>
    </row>
    <row r="1933" spans="1:3" x14ac:dyDescent="0.35">
      <c r="A1933" s="12">
        <v>41744</v>
      </c>
      <c r="B1933" s="12">
        <f t="shared" si="30"/>
        <v>41730</v>
      </c>
      <c r="C1933">
        <v>2.2250999999999999</v>
      </c>
    </row>
    <row r="1934" spans="1:3" x14ac:dyDescent="0.35">
      <c r="A1934" s="12">
        <v>41743</v>
      </c>
      <c r="B1934" s="12">
        <f t="shared" si="30"/>
        <v>41730</v>
      </c>
      <c r="C1934">
        <v>2.2090000000000001</v>
      </c>
    </row>
    <row r="1935" spans="1:3" x14ac:dyDescent="0.35">
      <c r="A1935" s="12">
        <v>41740</v>
      </c>
      <c r="B1935" s="12">
        <f t="shared" si="30"/>
        <v>41730</v>
      </c>
      <c r="C1935">
        <v>2.2052999999999998</v>
      </c>
    </row>
    <row r="1936" spans="1:3" x14ac:dyDescent="0.35">
      <c r="A1936" s="12">
        <v>41739</v>
      </c>
      <c r="B1936" s="12">
        <f t="shared" si="30"/>
        <v>41730</v>
      </c>
      <c r="C1936">
        <v>2.1981999999999999</v>
      </c>
    </row>
    <row r="1937" spans="1:3" x14ac:dyDescent="0.35">
      <c r="A1937" s="12">
        <v>41738</v>
      </c>
      <c r="B1937" s="12">
        <f t="shared" si="30"/>
        <v>41730</v>
      </c>
      <c r="C1937">
        <v>2.2105000000000001</v>
      </c>
    </row>
    <row r="1938" spans="1:3" x14ac:dyDescent="0.35">
      <c r="A1938" s="12">
        <v>41737</v>
      </c>
      <c r="B1938" s="12">
        <f t="shared" si="30"/>
        <v>41730</v>
      </c>
      <c r="C1938">
        <v>2.1968000000000001</v>
      </c>
    </row>
    <row r="1939" spans="1:3" x14ac:dyDescent="0.35">
      <c r="A1939" s="12">
        <v>41736</v>
      </c>
      <c r="B1939" s="12">
        <f t="shared" si="30"/>
        <v>41730</v>
      </c>
      <c r="C1939">
        <v>2.2229999999999999</v>
      </c>
    </row>
    <row r="1940" spans="1:3" x14ac:dyDescent="0.35">
      <c r="A1940" s="12">
        <v>41733</v>
      </c>
      <c r="B1940" s="12">
        <f t="shared" si="30"/>
        <v>41730</v>
      </c>
      <c r="C1940">
        <v>2.2414000000000001</v>
      </c>
    </row>
    <row r="1941" spans="1:3" x14ac:dyDescent="0.35">
      <c r="A1941" s="12">
        <v>41732</v>
      </c>
      <c r="B1941" s="12">
        <f t="shared" si="30"/>
        <v>41730</v>
      </c>
      <c r="C1941">
        <v>2.2805</v>
      </c>
    </row>
    <row r="1942" spans="1:3" x14ac:dyDescent="0.35">
      <c r="A1942" s="12">
        <v>41731</v>
      </c>
      <c r="B1942" s="12">
        <f t="shared" si="30"/>
        <v>41730</v>
      </c>
      <c r="C1942">
        <v>2.2705000000000002</v>
      </c>
    </row>
    <row r="1943" spans="1:3" x14ac:dyDescent="0.35">
      <c r="A1943" s="12">
        <v>41730</v>
      </c>
      <c r="B1943" s="12">
        <f t="shared" si="30"/>
        <v>41730</v>
      </c>
      <c r="C1943">
        <v>2.2614000000000001</v>
      </c>
    </row>
    <row r="1944" spans="1:3" x14ac:dyDescent="0.35">
      <c r="A1944" s="12">
        <v>41729</v>
      </c>
      <c r="B1944" s="12">
        <f t="shared" si="30"/>
        <v>41699</v>
      </c>
      <c r="C1944">
        <v>2.2624</v>
      </c>
    </row>
    <row r="1945" spans="1:3" x14ac:dyDescent="0.35">
      <c r="A1945" s="12">
        <v>41726</v>
      </c>
      <c r="B1945" s="12">
        <f t="shared" si="30"/>
        <v>41699</v>
      </c>
      <c r="C1945">
        <v>2.2597</v>
      </c>
    </row>
    <row r="1946" spans="1:3" x14ac:dyDescent="0.35">
      <c r="A1946" s="12">
        <v>41725</v>
      </c>
      <c r="B1946" s="12">
        <f t="shared" si="30"/>
        <v>41699</v>
      </c>
      <c r="C1946">
        <v>2.2824</v>
      </c>
    </row>
    <row r="1947" spans="1:3" x14ac:dyDescent="0.35">
      <c r="A1947" s="12">
        <v>41724</v>
      </c>
      <c r="B1947" s="12">
        <f t="shared" si="30"/>
        <v>41699</v>
      </c>
      <c r="C1947">
        <v>2.3113000000000001</v>
      </c>
    </row>
    <row r="1948" spans="1:3" x14ac:dyDescent="0.35">
      <c r="A1948" s="12">
        <v>41723</v>
      </c>
      <c r="B1948" s="12">
        <f t="shared" si="30"/>
        <v>41699</v>
      </c>
      <c r="C1948">
        <v>2.3117999999999999</v>
      </c>
    </row>
    <row r="1949" spans="1:3" x14ac:dyDescent="0.35">
      <c r="A1949" s="12">
        <v>41722</v>
      </c>
      <c r="B1949" s="12">
        <f t="shared" si="30"/>
        <v>41699</v>
      </c>
      <c r="C1949">
        <v>2.3241999999999998</v>
      </c>
    </row>
    <row r="1950" spans="1:3" x14ac:dyDescent="0.35">
      <c r="A1950" s="12">
        <v>41719</v>
      </c>
      <c r="B1950" s="12">
        <f t="shared" si="30"/>
        <v>41699</v>
      </c>
      <c r="C1950">
        <v>2.3239000000000001</v>
      </c>
    </row>
    <row r="1951" spans="1:3" x14ac:dyDescent="0.35">
      <c r="A1951" s="12">
        <v>41718</v>
      </c>
      <c r="B1951" s="12">
        <f t="shared" si="30"/>
        <v>41699</v>
      </c>
      <c r="C1951">
        <v>2.3414000000000001</v>
      </c>
    </row>
    <row r="1952" spans="1:3" x14ac:dyDescent="0.35">
      <c r="A1952" s="12">
        <v>41717</v>
      </c>
      <c r="B1952" s="12">
        <f t="shared" si="30"/>
        <v>41699</v>
      </c>
      <c r="C1952">
        <v>2.3332999999999999</v>
      </c>
    </row>
    <row r="1953" spans="1:3" x14ac:dyDescent="0.35">
      <c r="A1953" s="12">
        <v>41716</v>
      </c>
      <c r="B1953" s="12">
        <f t="shared" si="30"/>
        <v>41699</v>
      </c>
      <c r="C1953">
        <v>2.3515999999999999</v>
      </c>
    </row>
    <row r="1954" spans="1:3" x14ac:dyDescent="0.35">
      <c r="A1954" s="12">
        <v>41715</v>
      </c>
      <c r="B1954" s="12">
        <f t="shared" si="30"/>
        <v>41699</v>
      </c>
      <c r="C1954">
        <v>2.3513000000000002</v>
      </c>
    </row>
    <row r="1955" spans="1:3" x14ac:dyDescent="0.35">
      <c r="A1955" s="12">
        <v>41712</v>
      </c>
      <c r="B1955" s="12">
        <f t="shared" si="30"/>
        <v>41699</v>
      </c>
      <c r="C1955">
        <v>2.3631000000000002</v>
      </c>
    </row>
    <row r="1956" spans="1:3" x14ac:dyDescent="0.35">
      <c r="A1956" s="12">
        <v>41711</v>
      </c>
      <c r="B1956" s="12">
        <f t="shared" si="30"/>
        <v>41699</v>
      </c>
      <c r="C1956">
        <v>2.3479999999999999</v>
      </c>
    </row>
    <row r="1957" spans="1:3" x14ac:dyDescent="0.35">
      <c r="A1957" s="12">
        <v>41710</v>
      </c>
      <c r="B1957" s="12">
        <f t="shared" si="30"/>
        <v>41699</v>
      </c>
      <c r="C1957">
        <v>2.3643000000000001</v>
      </c>
    </row>
    <row r="1958" spans="1:3" x14ac:dyDescent="0.35">
      <c r="A1958" s="12">
        <v>41709</v>
      </c>
      <c r="B1958" s="12">
        <f t="shared" si="30"/>
        <v>41699</v>
      </c>
      <c r="C1958">
        <v>2.3454999999999999</v>
      </c>
    </row>
    <row r="1959" spans="1:3" x14ac:dyDescent="0.35">
      <c r="A1959" s="12">
        <v>41708</v>
      </c>
      <c r="B1959" s="12">
        <f t="shared" si="30"/>
        <v>41699</v>
      </c>
      <c r="C1959">
        <v>2.3403999999999998</v>
      </c>
    </row>
    <row r="1960" spans="1:3" x14ac:dyDescent="0.35">
      <c r="A1960" s="12">
        <v>41705</v>
      </c>
      <c r="B1960" s="12">
        <f t="shared" si="30"/>
        <v>41699</v>
      </c>
      <c r="C1960">
        <v>2.3376000000000001</v>
      </c>
    </row>
    <row r="1961" spans="1:3" x14ac:dyDescent="0.35">
      <c r="A1961" s="12">
        <v>41704</v>
      </c>
      <c r="B1961" s="12">
        <f t="shared" si="30"/>
        <v>41699</v>
      </c>
      <c r="C1961">
        <v>2.3088000000000002</v>
      </c>
    </row>
    <row r="1962" spans="1:3" x14ac:dyDescent="0.35">
      <c r="A1962" s="12">
        <v>41703</v>
      </c>
      <c r="B1962" s="12">
        <f t="shared" si="30"/>
        <v>41699</v>
      </c>
      <c r="C1962">
        <v>2.3233999999999999</v>
      </c>
    </row>
    <row r="1963" spans="1:3" x14ac:dyDescent="0.35">
      <c r="A1963" s="12">
        <v>41698</v>
      </c>
      <c r="B1963" s="12">
        <f t="shared" si="30"/>
        <v>41671</v>
      </c>
      <c r="C1963">
        <v>2.3327</v>
      </c>
    </row>
    <row r="1964" spans="1:3" x14ac:dyDescent="0.35">
      <c r="A1964" s="12">
        <v>41697</v>
      </c>
      <c r="B1964" s="12">
        <f t="shared" si="30"/>
        <v>41671</v>
      </c>
      <c r="C1964">
        <v>2.3431000000000002</v>
      </c>
    </row>
    <row r="1965" spans="1:3" x14ac:dyDescent="0.35">
      <c r="A1965" s="12">
        <v>41696</v>
      </c>
      <c r="B1965" s="12">
        <f t="shared" si="30"/>
        <v>41671</v>
      </c>
      <c r="C1965">
        <v>2.3448000000000002</v>
      </c>
    </row>
    <row r="1966" spans="1:3" x14ac:dyDescent="0.35">
      <c r="A1966" s="12">
        <v>41695</v>
      </c>
      <c r="B1966" s="12">
        <f t="shared" si="30"/>
        <v>41671</v>
      </c>
      <c r="C1966">
        <v>2.3361000000000001</v>
      </c>
    </row>
    <row r="1967" spans="1:3" x14ac:dyDescent="0.35">
      <c r="A1967" s="12">
        <v>41694</v>
      </c>
      <c r="B1967" s="12">
        <f t="shared" si="30"/>
        <v>41671</v>
      </c>
      <c r="C1967">
        <v>2.3384999999999998</v>
      </c>
    </row>
    <row r="1968" spans="1:3" x14ac:dyDescent="0.35">
      <c r="A1968" s="12">
        <v>41691</v>
      </c>
      <c r="B1968" s="12">
        <f t="shared" si="30"/>
        <v>41671</v>
      </c>
      <c r="C1968">
        <v>2.3618999999999999</v>
      </c>
    </row>
    <row r="1969" spans="1:3" x14ac:dyDescent="0.35">
      <c r="A1969" s="12">
        <v>41690</v>
      </c>
      <c r="B1969" s="12">
        <f t="shared" si="30"/>
        <v>41671</v>
      </c>
      <c r="C1969">
        <v>2.3793000000000002</v>
      </c>
    </row>
    <row r="1970" spans="1:3" x14ac:dyDescent="0.35">
      <c r="A1970" s="12">
        <v>41689</v>
      </c>
      <c r="B1970" s="12">
        <f t="shared" si="30"/>
        <v>41671</v>
      </c>
      <c r="C1970">
        <v>2.3980000000000001</v>
      </c>
    </row>
    <row r="1971" spans="1:3" x14ac:dyDescent="0.35">
      <c r="A1971" s="12">
        <v>41688</v>
      </c>
      <c r="B1971" s="12">
        <f t="shared" si="30"/>
        <v>41671</v>
      </c>
      <c r="C1971">
        <v>2.3976999999999999</v>
      </c>
    </row>
    <row r="1972" spans="1:3" x14ac:dyDescent="0.35">
      <c r="A1972" s="12">
        <v>41687</v>
      </c>
      <c r="B1972" s="12">
        <f t="shared" si="30"/>
        <v>41671</v>
      </c>
      <c r="C1972">
        <v>2.3864000000000001</v>
      </c>
    </row>
    <row r="1973" spans="1:3" x14ac:dyDescent="0.35">
      <c r="A1973" s="12">
        <v>41684</v>
      </c>
      <c r="B1973" s="12">
        <f t="shared" si="30"/>
        <v>41671</v>
      </c>
      <c r="C1973">
        <v>2.3919000000000001</v>
      </c>
    </row>
    <row r="1974" spans="1:3" x14ac:dyDescent="0.35">
      <c r="A1974" s="12">
        <v>41683</v>
      </c>
      <c r="B1974" s="12">
        <f t="shared" si="30"/>
        <v>41671</v>
      </c>
      <c r="C1974">
        <v>2.4232</v>
      </c>
    </row>
    <row r="1975" spans="1:3" x14ac:dyDescent="0.35">
      <c r="A1975" s="12">
        <v>41682</v>
      </c>
      <c r="B1975" s="12">
        <f t="shared" si="30"/>
        <v>41671</v>
      </c>
      <c r="C1975">
        <v>2.4079999999999999</v>
      </c>
    </row>
    <row r="1976" spans="1:3" x14ac:dyDescent="0.35">
      <c r="A1976" s="12">
        <v>41681</v>
      </c>
      <c r="B1976" s="12">
        <f t="shared" si="30"/>
        <v>41671</v>
      </c>
      <c r="C1976">
        <v>2.407</v>
      </c>
    </row>
    <row r="1977" spans="1:3" x14ac:dyDescent="0.35">
      <c r="A1977" s="12">
        <v>41680</v>
      </c>
      <c r="B1977" s="12">
        <f t="shared" si="30"/>
        <v>41671</v>
      </c>
      <c r="C1977">
        <v>2.3929999999999998</v>
      </c>
    </row>
    <row r="1978" spans="1:3" x14ac:dyDescent="0.35">
      <c r="A1978" s="12">
        <v>41677</v>
      </c>
      <c r="B1978" s="12">
        <f t="shared" si="30"/>
        <v>41671</v>
      </c>
      <c r="C1978">
        <v>2.3811</v>
      </c>
    </row>
    <row r="1979" spans="1:3" x14ac:dyDescent="0.35">
      <c r="A1979" s="12">
        <v>41676</v>
      </c>
      <c r="B1979" s="12">
        <f t="shared" si="30"/>
        <v>41671</v>
      </c>
      <c r="C1979">
        <v>2.4035000000000002</v>
      </c>
    </row>
    <row r="1980" spans="1:3" x14ac:dyDescent="0.35">
      <c r="A1980" s="12">
        <v>41675</v>
      </c>
      <c r="B1980" s="12">
        <f t="shared" si="30"/>
        <v>41671</v>
      </c>
      <c r="C1980">
        <v>2.4100999999999999</v>
      </c>
    </row>
    <row r="1981" spans="1:3" x14ac:dyDescent="0.35">
      <c r="A1981" s="12">
        <v>41674</v>
      </c>
      <c r="B1981" s="12">
        <f t="shared" si="30"/>
        <v>41671</v>
      </c>
      <c r="C1981">
        <v>2.4171</v>
      </c>
    </row>
    <row r="1982" spans="1:3" x14ac:dyDescent="0.35">
      <c r="A1982" s="12">
        <v>41673</v>
      </c>
      <c r="B1982" s="12">
        <f t="shared" si="30"/>
        <v>41671</v>
      </c>
      <c r="C1982">
        <v>2.4083999999999999</v>
      </c>
    </row>
    <row r="1983" spans="1:3" x14ac:dyDescent="0.35">
      <c r="A1983" s="12">
        <v>41670</v>
      </c>
      <c r="B1983" s="12">
        <f t="shared" si="30"/>
        <v>41640</v>
      </c>
      <c r="C1983">
        <v>2.4257</v>
      </c>
    </row>
    <row r="1984" spans="1:3" x14ac:dyDescent="0.35">
      <c r="A1984" s="12">
        <v>41669</v>
      </c>
      <c r="B1984" s="12">
        <f t="shared" si="30"/>
        <v>41640</v>
      </c>
      <c r="C1984">
        <v>2.4218000000000002</v>
      </c>
    </row>
    <row r="1985" spans="1:3" x14ac:dyDescent="0.35">
      <c r="A1985" s="12">
        <v>41668</v>
      </c>
      <c r="B1985" s="12">
        <f t="shared" si="30"/>
        <v>41640</v>
      </c>
      <c r="C1985">
        <v>2.4390000000000001</v>
      </c>
    </row>
    <row r="1986" spans="1:3" x14ac:dyDescent="0.35">
      <c r="A1986" s="12">
        <v>41667</v>
      </c>
      <c r="B1986" s="12">
        <f t="shared" si="30"/>
        <v>41640</v>
      </c>
      <c r="C1986">
        <v>2.4159000000000002</v>
      </c>
    </row>
    <row r="1987" spans="1:3" x14ac:dyDescent="0.35">
      <c r="A1987" s="12">
        <v>41666</v>
      </c>
      <c r="B1987" s="12">
        <f t="shared" ref="B1987:B2050" si="31">DATE(YEAR(A1987),MONTH(A1987),DAY(1))</f>
        <v>41640</v>
      </c>
      <c r="C1987">
        <v>2.4037999999999999</v>
      </c>
    </row>
    <row r="1988" spans="1:3" x14ac:dyDescent="0.35">
      <c r="A1988" s="12">
        <v>41663</v>
      </c>
      <c r="B1988" s="12">
        <f t="shared" si="31"/>
        <v>41640</v>
      </c>
      <c r="C1988">
        <v>2.4123000000000001</v>
      </c>
    </row>
    <row r="1989" spans="1:3" x14ac:dyDescent="0.35">
      <c r="A1989" s="12">
        <v>41662</v>
      </c>
      <c r="B1989" s="12">
        <f t="shared" si="31"/>
        <v>41640</v>
      </c>
      <c r="C1989">
        <v>2.3755000000000002</v>
      </c>
    </row>
    <row r="1990" spans="1:3" x14ac:dyDescent="0.35">
      <c r="A1990" s="12">
        <v>41661</v>
      </c>
      <c r="B1990" s="12">
        <f t="shared" si="31"/>
        <v>41640</v>
      </c>
      <c r="C1990">
        <v>2.3595000000000002</v>
      </c>
    </row>
    <row r="1991" spans="1:3" x14ac:dyDescent="0.35">
      <c r="A1991" s="12">
        <v>41660</v>
      </c>
      <c r="B1991" s="12">
        <f t="shared" si="31"/>
        <v>41640</v>
      </c>
      <c r="C1991">
        <v>2.3601999999999999</v>
      </c>
    </row>
    <row r="1992" spans="1:3" x14ac:dyDescent="0.35">
      <c r="A1992" s="12">
        <v>41659</v>
      </c>
      <c r="B1992" s="12">
        <f t="shared" si="31"/>
        <v>41640</v>
      </c>
      <c r="C1992">
        <v>2.3329</v>
      </c>
    </row>
    <row r="1993" spans="1:3" x14ac:dyDescent="0.35">
      <c r="A1993" s="12">
        <v>41656</v>
      </c>
      <c r="B1993" s="12">
        <f t="shared" si="31"/>
        <v>41640</v>
      </c>
      <c r="C1993">
        <v>2.3595000000000002</v>
      </c>
    </row>
    <row r="1994" spans="1:3" x14ac:dyDescent="0.35">
      <c r="A1994" s="12">
        <v>41655</v>
      </c>
      <c r="B1994" s="12">
        <f t="shared" si="31"/>
        <v>41640</v>
      </c>
      <c r="C1994">
        <v>2.3677000000000001</v>
      </c>
    </row>
    <row r="1995" spans="1:3" x14ac:dyDescent="0.35">
      <c r="A1995" s="12">
        <v>41654</v>
      </c>
      <c r="B1995" s="12">
        <f t="shared" si="31"/>
        <v>41640</v>
      </c>
      <c r="C1995">
        <v>2.3464999999999998</v>
      </c>
    </row>
    <row r="1996" spans="1:3" x14ac:dyDescent="0.35">
      <c r="A1996" s="12">
        <v>41653</v>
      </c>
      <c r="B1996" s="12">
        <f t="shared" si="31"/>
        <v>41640</v>
      </c>
      <c r="C1996">
        <v>2.3611</v>
      </c>
    </row>
    <row r="1997" spans="1:3" x14ac:dyDescent="0.35">
      <c r="A1997" s="12">
        <v>41652</v>
      </c>
      <c r="B1997" s="12">
        <f t="shared" si="31"/>
        <v>41640</v>
      </c>
      <c r="C1997">
        <v>2.3485</v>
      </c>
    </row>
    <row r="1998" spans="1:3" x14ac:dyDescent="0.35">
      <c r="A1998" s="12">
        <v>41649</v>
      </c>
      <c r="B1998" s="12">
        <f t="shared" si="31"/>
        <v>41640</v>
      </c>
      <c r="C1998">
        <v>2.3813</v>
      </c>
    </row>
    <row r="1999" spans="1:3" x14ac:dyDescent="0.35">
      <c r="A1999" s="12">
        <v>41648</v>
      </c>
      <c r="B1999" s="12">
        <f t="shared" si="31"/>
        <v>41640</v>
      </c>
      <c r="C1999">
        <v>2.3954</v>
      </c>
    </row>
    <row r="2000" spans="1:3" x14ac:dyDescent="0.35">
      <c r="A2000" s="12">
        <v>41647</v>
      </c>
      <c r="B2000" s="12">
        <f t="shared" si="31"/>
        <v>41640</v>
      </c>
      <c r="C2000">
        <v>2.3773</v>
      </c>
    </row>
    <row r="2001" spans="1:3" x14ac:dyDescent="0.35">
      <c r="A2001" s="12">
        <v>41646</v>
      </c>
      <c r="B2001" s="12">
        <f t="shared" si="31"/>
        <v>41640</v>
      </c>
      <c r="C2001">
        <v>2.3628</v>
      </c>
    </row>
    <row r="2002" spans="1:3" x14ac:dyDescent="0.35">
      <c r="A2002" s="12">
        <v>41645</v>
      </c>
      <c r="B2002" s="12">
        <f t="shared" si="31"/>
        <v>41640</v>
      </c>
      <c r="C2002">
        <v>2.3782999999999999</v>
      </c>
    </row>
    <row r="2003" spans="1:3" x14ac:dyDescent="0.35">
      <c r="A2003" s="12">
        <v>41642</v>
      </c>
      <c r="B2003" s="12">
        <f t="shared" si="31"/>
        <v>41640</v>
      </c>
      <c r="C2003">
        <v>2.3734000000000002</v>
      </c>
    </row>
    <row r="2004" spans="1:3" x14ac:dyDescent="0.35">
      <c r="A2004" s="12">
        <v>41641</v>
      </c>
      <c r="B2004" s="12">
        <f t="shared" si="31"/>
        <v>41640</v>
      </c>
      <c r="C2004">
        <v>2.3969</v>
      </c>
    </row>
    <row r="2005" spans="1:3" x14ac:dyDescent="0.35">
      <c r="A2005" s="12">
        <v>41639</v>
      </c>
      <c r="B2005" s="12">
        <f t="shared" si="31"/>
        <v>41609</v>
      </c>
      <c r="C2005">
        <v>2.3420000000000001</v>
      </c>
    </row>
    <row r="2006" spans="1:3" x14ac:dyDescent="0.35">
      <c r="A2006" s="12">
        <v>41638</v>
      </c>
      <c r="B2006" s="12">
        <f t="shared" si="31"/>
        <v>41609</v>
      </c>
      <c r="C2006">
        <v>2.3420000000000001</v>
      </c>
    </row>
    <row r="2007" spans="1:3" x14ac:dyDescent="0.35">
      <c r="A2007" s="12">
        <v>41635</v>
      </c>
      <c r="B2007" s="12">
        <f t="shared" si="31"/>
        <v>41609</v>
      </c>
      <c r="C2007">
        <v>2.3532000000000002</v>
      </c>
    </row>
    <row r="2008" spans="1:3" x14ac:dyDescent="0.35">
      <c r="A2008" s="12">
        <v>41634</v>
      </c>
      <c r="B2008" s="12">
        <f t="shared" si="31"/>
        <v>41609</v>
      </c>
      <c r="C2008">
        <v>2.3500999999999999</v>
      </c>
    </row>
    <row r="2009" spans="1:3" x14ac:dyDescent="0.35">
      <c r="A2009" s="12">
        <v>41632</v>
      </c>
      <c r="B2009" s="12">
        <f t="shared" si="31"/>
        <v>41609</v>
      </c>
      <c r="C2009">
        <v>2.3542999999999998</v>
      </c>
    </row>
    <row r="2010" spans="1:3" x14ac:dyDescent="0.35">
      <c r="A2010" s="12">
        <v>41631</v>
      </c>
      <c r="B2010" s="12">
        <f t="shared" si="31"/>
        <v>41609</v>
      </c>
      <c r="C2010">
        <v>2.37</v>
      </c>
    </row>
    <row r="2011" spans="1:3" x14ac:dyDescent="0.35">
      <c r="A2011" s="12">
        <v>41628</v>
      </c>
      <c r="B2011" s="12">
        <f t="shared" si="31"/>
        <v>41609</v>
      </c>
      <c r="C2011">
        <v>2.3811</v>
      </c>
    </row>
    <row r="2012" spans="1:3" x14ac:dyDescent="0.35">
      <c r="A2012" s="12">
        <v>41627</v>
      </c>
      <c r="B2012" s="12">
        <f t="shared" si="31"/>
        <v>41609</v>
      </c>
      <c r="C2012">
        <v>2.3521999999999998</v>
      </c>
    </row>
    <row r="2013" spans="1:3" x14ac:dyDescent="0.35">
      <c r="A2013" s="12">
        <v>41626</v>
      </c>
      <c r="B2013" s="12">
        <f t="shared" si="31"/>
        <v>41609</v>
      </c>
      <c r="C2013">
        <v>2.3268</v>
      </c>
    </row>
    <row r="2014" spans="1:3" x14ac:dyDescent="0.35">
      <c r="A2014" s="12">
        <v>41625</v>
      </c>
      <c r="B2014" s="12">
        <f t="shared" si="31"/>
        <v>41609</v>
      </c>
      <c r="C2014">
        <v>2.3214999999999999</v>
      </c>
    </row>
    <row r="2015" spans="1:3" x14ac:dyDescent="0.35">
      <c r="A2015" s="12">
        <v>41624</v>
      </c>
      <c r="B2015" s="12">
        <f t="shared" si="31"/>
        <v>41609</v>
      </c>
      <c r="C2015">
        <v>2.3249</v>
      </c>
    </row>
    <row r="2016" spans="1:3" x14ac:dyDescent="0.35">
      <c r="A2016" s="12">
        <v>41621</v>
      </c>
      <c r="B2016" s="12">
        <f t="shared" si="31"/>
        <v>41609</v>
      </c>
      <c r="C2016">
        <v>2.3348</v>
      </c>
    </row>
    <row r="2017" spans="1:3" x14ac:dyDescent="0.35">
      <c r="A2017" s="12">
        <v>41620</v>
      </c>
      <c r="B2017" s="12">
        <f t="shared" si="31"/>
        <v>41609</v>
      </c>
      <c r="C2017">
        <v>2.3332999999999999</v>
      </c>
    </row>
    <row r="2018" spans="1:3" x14ac:dyDescent="0.35">
      <c r="A2018" s="12">
        <v>41619</v>
      </c>
      <c r="B2018" s="12">
        <f t="shared" si="31"/>
        <v>41609</v>
      </c>
      <c r="C2018">
        <v>2.3256000000000001</v>
      </c>
    </row>
    <row r="2019" spans="1:3" x14ac:dyDescent="0.35">
      <c r="A2019" s="12">
        <v>41618</v>
      </c>
      <c r="B2019" s="12">
        <f t="shared" si="31"/>
        <v>41609</v>
      </c>
      <c r="C2019">
        <v>2.3096000000000001</v>
      </c>
    </row>
    <row r="2020" spans="1:3" x14ac:dyDescent="0.35">
      <c r="A2020" s="12">
        <v>41617</v>
      </c>
      <c r="B2020" s="12">
        <f t="shared" si="31"/>
        <v>41609</v>
      </c>
      <c r="C2020">
        <v>2.3218000000000001</v>
      </c>
    </row>
    <row r="2021" spans="1:3" x14ac:dyDescent="0.35">
      <c r="A2021" s="12">
        <v>41614</v>
      </c>
      <c r="B2021" s="12">
        <f t="shared" si="31"/>
        <v>41609</v>
      </c>
      <c r="C2021">
        <v>2.3519000000000001</v>
      </c>
    </row>
    <row r="2022" spans="1:3" x14ac:dyDescent="0.35">
      <c r="A2022" s="12">
        <v>41613</v>
      </c>
      <c r="B2022" s="12">
        <f t="shared" si="31"/>
        <v>41609</v>
      </c>
      <c r="C2022">
        <v>2.3740999999999999</v>
      </c>
    </row>
    <row r="2023" spans="1:3" x14ac:dyDescent="0.35">
      <c r="A2023" s="12">
        <v>41612</v>
      </c>
      <c r="B2023" s="12">
        <f t="shared" si="31"/>
        <v>41609</v>
      </c>
      <c r="C2023">
        <v>2.3740000000000001</v>
      </c>
    </row>
    <row r="2024" spans="1:3" x14ac:dyDescent="0.35">
      <c r="A2024" s="12">
        <v>41611</v>
      </c>
      <c r="B2024" s="12">
        <f t="shared" si="31"/>
        <v>41609</v>
      </c>
      <c r="C2024">
        <v>2.3552</v>
      </c>
    </row>
    <row r="2025" spans="1:3" x14ac:dyDescent="0.35">
      <c r="A2025" s="12">
        <v>41610</v>
      </c>
      <c r="B2025" s="12">
        <f t="shared" si="31"/>
        <v>41609</v>
      </c>
      <c r="C2025">
        <v>2.3443000000000001</v>
      </c>
    </row>
    <row r="2026" spans="1:3" x14ac:dyDescent="0.35">
      <c r="A2026" s="12">
        <v>41607</v>
      </c>
      <c r="B2026" s="12">
        <f t="shared" si="31"/>
        <v>41579</v>
      </c>
      <c r="C2026">
        <v>2.3243</v>
      </c>
    </row>
    <row r="2027" spans="1:3" x14ac:dyDescent="0.35">
      <c r="A2027" s="12">
        <v>41606</v>
      </c>
      <c r="B2027" s="12">
        <f t="shared" si="31"/>
        <v>41579</v>
      </c>
      <c r="C2027">
        <v>2.3201999999999998</v>
      </c>
    </row>
    <row r="2028" spans="1:3" x14ac:dyDescent="0.35">
      <c r="A2028" s="12">
        <v>41605</v>
      </c>
      <c r="B2028" s="12">
        <f t="shared" si="31"/>
        <v>41579</v>
      </c>
      <c r="C2028">
        <v>2.3052000000000001</v>
      </c>
    </row>
    <row r="2029" spans="1:3" x14ac:dyDescent="0.35">
      <c r="A2029" s="12">
        <v>41604</v>
      </c>
      <c r="B2029" s="12">
        <f t="shared" si="31"/>
        <v>41579</v>
      </c>
      <c r="C2029">
        <v>2.3033999999999999</v>
      </c>
    </row>
    <row r="2030" spans="1:3" x14ac:dyDescent="0.35">
      <c r="A2030" s="12">
        <v>41603</v>
      </c>
      <c r="B2030" s="12">
        <f t="shared" si="31"/>
        <v>41579</v>
      </c>
      <c r="C2030">
        <v>2.2865000000000002</v>
      </c>
    </row>
    <row r="2031" spans="1:3" x14ac:dyDescent="0.35">
      <c r="A2031" s="12">
        <v>41600</v>
      </c>
      <c r="B2031" s="12">
        <f t="shared" si="31"/>
        <v>41579</v>
      </c>
      <c r="C2031">
        <v>2.2906</v>
      </c>
    </row>
    <row r="2032" spans="1:3" x14ac:dyDescent="0.35">
      <c r="A2032" s="12">
        <v>41599</v>
      </c>
      <c r="B2032" s="12">
        <f t="shared" si="31"/>
        <v>41579</v>
      </c>
      <c r="C2032">
        <v>2.3060999999999998</v>
      </c>
    </row>
    <row r="2033" spans="1:3" x14ac:dyDescent="0.35">
      <c r="A2033" s="12">
        <v>41598</v>
      </c>
      <c r="B2033" s="12">
        <f t="shared" si="31"/>
        <v>41579</v>
      </c>
      <c r="C2033">
        <v>2.2713000000000001</v>
      </c>
    </row>
    <row r="2034" spans="1:3" x14ac:dyDescent="0.35">
      <c r="A2034" s="12">
        <v>41597</v>
      </c>
      <c r="B2034" s="12">
        <f t="shared" si="31"/>
        <v>41579</v>
      </c>
      <c r="C2034">
        <v>2.2656000000000001</v>
      </c>
    </row>
    <row r="2035" spans="1:3" x14ac:dyDescent="0.35">
      <c r="A2035" s="12">
        <v>41596</v>
      </c>
      <c r="B2035" s="12">
        <f t="shared" si="31"/>
        <v>41579</v>
      </c>
      <c r="C2035">
        <v>2.2822</v>
      </c>
    </row>
    <row r="2036" spans="1:3" x14ac:dyDescent="0.35">
      <c r="A2036" s="12">
        <v>41592</v>
      </c>
      <c r="B2036" s="12">
        <f t="shared" si="31"/>
        <v>41579</v>
      </c>
      <c r="C2036">
        <v>2.3283</v>
      </c>
    </row>
    <row r="2037" spans="1:3" x14ac:dyDescent="0.35">
      <c r="A2037" s="12">
        <v>41591</v>
      </c>
      <c r="B2037" s="12">
        <f t="shared" si="31"/>
        <v>41579</v>
      </c>
      <c r="C2037">
        <v>2.3228</v>
      </c>
    </row>
    <row r="2038" spans="1:3" x14ac:dyDescent="0.35">
      <c r="A2038" s="12">
        <v>41590</v>
      </c>
      <c r="B2038" s="12">
        <f t="shared" si="31"/>
        <v>41579</v>
      </c>
      <c r="C2038">
        <v>2.3355999999999999</v>
      </c>
    </row>
    <row r="2039" spans="1:3" x14ac:dyDescent="0.35">
      <c r="A2039" s="12">
        <v>41589</v>
      </c>
      <c r="B2039" s="12">
        <f t="shared" si="31"/>
        <v>41579</v>
      </c>
      <c r="C2039">
        <v>2.3136000000000001</v>
      </c>
    </row>
    <row r="2040" spans="1:3" x14ac:dyDescent="0.35">
      <c r="A2040" s="12">
        <v>41586</v>
      </c>
      <c r="B2040" s="12">
        <f t="shared" si="31"/>
        <v>41579</v>
      </c>
      <c r="C2040">
        <v>2.3163999999999998</v>
      </c>
    </row>
    <row r="2041" spans="1:3" x14ac:dyDescent="0.35">
      <c r="A2041" s="12">
        <v>41585</v>
      </c>
      <c r="B2041" s="12">
        <f t="shared" si="31"/>
        <v>41579</v>
      </c>
      <c r="C2041">
        <v>2.2818999999999998</v>
      </c>
    </row>
    <row r="2042" spans="1:3" x14ac:dyDescent="0.35">
      <c r="A2042" s="12">
        <v>41584</v>
      </c>
      <c r="B2042" s="12">
        <f t="shared" si="31"/>
        <v>41579</v>
      </c>
      <c r="C2042">
        <v>2.2778999999999998</v>
      </c>
    </row>
    <row r="2043" spans="1:3" x14ac:dyDescent="0.35">
      <c r="A2043" s="12">
        <v>41583</v>
      </c>
      <c r="B2043" s="12">
        <f t="shared" si="31"/>
        <v>41579</v>
      </c>
      <c r="C2043">
        <v>2.2740999999999998</v>
      </c>
    </row>
    <row r="2044" spans="1:3" x14ac:dyDescent="0.35">
      <c r="A2044" s="12">
        <v>41582</v>
      </c>
      <c r="B2044" s="12">
        <f t="shared" si="31"/>
        <v>41579</v>
      </c>
      <c r="C2044">
        <v>2.242</v>
      </c>
    </row>
    <row r="2045" spans="1:3" x14ac:dyDescent="0.35">
      <c r="A2045" s="12">
        <v>41579</v>
      </c>
      <c r="B2045" s="12">
        <f t="shared" si="31"/>
        <v>41579</v>
      </c>
      <c r="C2045">
        <v>2.2462</v>
      </c>
    </row>
    <row r="2046" spans="1:3" x14ac:dyDescent="0.35">
      <c r="A2046" s="12">
        <v>41578</v>
      </c>
      <c r="B2046" s="12">
        <f t="shared" si="31"/>
        <v>41548</v>
      </c>
      <c r="C2046">
        <v>2.202</v>
      </c>
    </row>
    <row r="2047" spans="1:3" x14ac:dyDescent="0.35">
      <c r="A2047" s="12">
        <v>41577</v>
      </c>
      <c r="B2047" s="12">
        <f t="shared" si="31"/>
        <v>41548</v>
      </c>
      <c r="C2047">
        <v>2.1882000000000001</v>
      </c>
    </row>
    <row r="2048" spans="1:3" x14ac:dyDescent="0.35">
      <c r="A2048" s="12">
        <v>41576</v>
      </c>
      <c r="B2048" s="12">
        <f t="shared" si="31"/>
        <v>41548</v>
      </c>
      <c r="C2048">
        <v>2.1798000000000002</v>
      </c>
    </row>
    <row r="2049" spans="1:3" x14ac:dyDescent="0.35">
      <c r="A2049" s="12">
        <v>41575</v>
      </c>
      <c r="B2049" s="12">
        <f t="shared" si="31"/>
        <v>41548</v>
      </c>
      <c r="C2049">
        <v>2.1840000000000002</v>
      </c>
    </row>
    <row r="2050" spans="1:3" x14ac:dyDescent="0.35">
      <c r="A2050" s="12">
        <v>41572</v>
      </c>
      <c r="B2050" s="12">
        <f t="shared" si="31"/>
        <v>41548</v>
      </c>
      <c r="C2050">
        <v>2.1842000000000001</v>
      </c>
    </row>
    <row r="2051" spans="1:3" x14ac:dyDescent="0.35">
      <c r="A2051" s="12">
        <v>41571</v>
      </c>
      <c r="B2051" s="12">
        <f t="shared" ref="B2051:B2114" si="32">DATE(YEAR(A2051),MONTH(A2051),DAY(1))</f>
        <v>41548</v>
      </c>
      <c r="C2051">
        <v>2.1997</v>
      </c>
    </row>
    <row r="2052" spans="1:3" x14ac:dyDescent="0.35">
      <c r="A2052" s="12">
        <v>41570</v>
      </c>
      <c r="B2052" s="12">
        <f t="shared" si="32"/>
        <v>41548</v>
      </c>
      <c r="C2052">
        <v>2.1821000000000002</v>
      </c>
    </row>
    <row r="2053" spans="1:3" x14ac:dyDescent="0.35">
      <c r="A2053" s="12">
        <v>41569</v>
      </c>
      <c r="B2053" s="12">
        <f t="shared" si="32"/>
        <v>41548</v>
      </c>
      <c r="C2053">
        <v>2.1753999999999998</v>
      </c>
    </row>
    <row r="2054" spans="1:3" x14ac:dyDescent="0.35">
      <c r="A2054" s="12">
        <v>41568</v>
      </c>
      <c r="B2054" s="12">
        <f t="shared" si="32"/>
        <v>41548</v>
      </c>
      <c r="C2054">
        <v>2.1732</v>
      </c>
    </row>
    <row r="2055" spans="1:3" x14ac:dyDescent="0.35">
      <c r="A2055" s="12">
        <v>41565</v>
      </c>
      <c r="B2055" s="12">
        <f t="shared" si="32"/>
        <v>41548</v>
      </c>
      <c r="C2055">
        <v>2.161</v>
      </c>
    </row>
    <row r="2056" spans="1:3" x14ac:dyDescent="0.35">
      <c r="A2056" s="12">
        <v>41564</v>
      </c>
      <c r="B2056" s="12">
        <f t="shared" si="32"/>
        <v>41548</v>
      </c>
      <c r="C2056">
        <v>2.1604999999999999</v>
      </c>
    </row>
    <row r="2057" spans="1:3" x14ac:dyDescent="0.35">
      <c r="A2057" s="12">
        <v>41563</v>
      </c>
      <c r="B2057" s="12">
        <f t="shared" si="32"/>
        <v>41548</v>
      </c>
      <c r="C2057">
        <v>2.1623000000000001</v>
      </c>
    </row>
    <row r="2058" spans="1:3" x14ac:dyDescent="0.35">
      <c r="A2058" s="12">
        <v>41562</v>
      </c>
      <c r="B2058" s="12">
        <f t="shared" si="32"/>
        <v>41548</v>
      </c>
      <c r="C2058">
        <v>2.1812</v>
      </c>
    </row>
    <row r="2059" spans="1:3" x14ac:dyDescent="0.35">
      <c r="A2059" s="12">
        <v>41561</v>
      </c>
      <c r="B2059" s="12">
        <f t="shared" si="32"/>
        <v>41548</v>
      </c>
      <c r="C2059">
        <v>2.1810999999999998</v>
      </c>
    </row>
    <row r="2060" spans="1:3" x14ac:dyDescent="0.35">
      <c r="A2060" s="12">
        <v>41558</v>
      </c>
      <c r="B2060" s="12">
        <f t="shared" si="32"/>
        <v>41548</v>
      </c>
      <c r="C2060">
        <v>2.1815000000000002</v>
      </c>
    </row>
    <row r="2061" spans="1:3" x14ac:dyDescent="0.35">
      <c r="A2061" s="12">
        <v>41557</v>
      </c>
      <c r="B2061" s="12">
        <f t="shared" si="32"/>
        <v>41548</v>
      </c>
      <c r="C2061">
        <v>2.1844000000000001</v>
      </c>
    </row>
    <row r="2062" spans="1:3" x14ac:dyDescent="0.35">
      <c r="A2062" s="12">
        <v>41556</v>
      </c>
      <c r="B2062" s="12">
        <f t="shared" si="32"/>
        <v>41548</v>
      </c>
      <c r="C2062">
        <v>2.2048000000000001</v>
      </c>
    </row>
    <row r="2063" spans="1:3" x14ac:dyDescent="0.35">
      <c r="A2063" s="12">
        <v>41555</v>
      </c>
      <c r="B2063" s="12">
        <f t="shared" si="32"/>
        <v>41548</v>
      </c>
      <c r="C2063">
        <v>2.2010000000000001</v>
      </c>
    </row>
    <row r="2064" spans="1:3" x14ac:dyDescent="0.35">
      <c r="A2064" s="12">
        <v>41554</v>
      </c>
      <c r="B2064" s="12">
        <f t="shared" si="32"/>
        <v>41548</v>
      </c>
      <c r="C2064">
        <v>2.2081</v>
      </c>
    </row>
    <row r="2065" spans="1:3" x14ac:dyDescent="0.35">
      <c r="A2065" s="12">
        <v>41551</v>
      </c>
      <c r="B2065" s="12">
        <f t="shared" si="32"/>
        <v>41548</v>
      </c>
      <c r="C2065">
        <v>2.2044999999999999</v>
      </c>
    </row>
    <row r="2066" spans="1:3" x14ac:dyDescent="0.35">
      <c r="A2066" s="12">
        <v>41550</v>
      </c>
      <c r="B2066" s="12">
        <f t="shared" si="32"/>
        <v>41548</v>
      </c>
      <c r="C2066">
        <v>2.2063000000000001</v>
      </c>
    </row>
    <row r="2067" spans="1:3" x14ac:dyDescent="0.35">
      <c r="A2067" s="12">
        <v>41549</v>
      </c>
      <c r="B2067" s="12">
        <f t="shared" si="32"/>
        <v>41548</v>
      </c>
      <c r="C2067">
        <v>2.2082000000000002</v>
      </c>
    </row>
    <row r="2068" spans="1:3" x14ac:dyDescent="0.35">
      <c r="A2068" s="12">
        <v>41548</v>
      </c>
      <c r="B2068" s="12">
        <f t="shared" si="32"/>
        <v>41548</v>
      </c>
      <c r="C2068">
        <v>2.2118000000000002</v>
      </c>
    </row>
    <row r="2069" spans="1:3" x14ac:dyDescent="0.35">
      <c r="A2069" s="12">
        <v>41547</v>
      </c>
      <c r="B2069" s="12">
        <f t="shared" si="32"/>
        <v>41518</v>
      </c>
      <c r="C2069">
        <v>2.2294</v>
      </c>
    </row>
    <row r="2070" spans="1:3" x14ac:dyDescent="0.35">
      <c r="A2070" s="12">
        <v>41544</v>
      </c>
      <c r="B2070" s="12">
        <f t="shared" si="32"/>
        <v>41518</v>
      </c>
      <c r="C2070">
        <v>2.2565</v>
      </c>
    </row>
    <row r="2071" spans="1:3" x14ac:dyDescent="0.35">
      <c r="A2071" s="12">
        <v>41543</v>
      </c>
      <c r="B2071" s="12">
        <f t="shared" si="32"/>
        <v>41518</v>
      </c>
      <c r="C2071">
        <v>2.2279</v>
      </c>
    </row>
    <row r="2072" spans="1:3" x14ac:dyDescent="0.35">
      <c r="A2072" s="12">
        <v>41542</v>
      </c>
      <c r="B2072" s="12">
        <f t="shared" si="32"/>
        <v>41518</v>
      </c>
      <c r="C2072">
        <v>2.2218</v>
      </c>
    </row>
    <row r="2073" spans="1:3" x14ac:dyDescent="0.35">
      <c r="A2073" s="12">
        <v>41541</v>
      </c>
      <c r="B2073" s="12">
        <f t="shared" si="32"/>
        <v>41518</v>
      </c>
      <c r="C2073">
        <v>2.2025000000000001</v>
      </c>
    </row>
    <row r="2074" spans="1:3" x14ac:dyDescent="0.35">
      <c r="A2074" s="12">
        <v>41540</v>
      </c>
      <c r="B2074" s="12">
        <f t="shared" si="32"/>
        <v>41518</v>
      </c>
      <c r="C2074">
        <v>2.2025999999999999</v>
      </c>
    </row>
    <row r="2075" spans="1:3" x14ac:dyDescent="0.35">
      <c r="A2075" s="12">
        <v>41537</v>
      </c>
      <c r="B2075" s="12">
        <f t="shared" si="32"/>
        <v>41518</v>
      </c>
      <c r="C2075">
        <v>2.2046999999999999</v>
      </c>
    </row>
    <row r="2076" spans="1:3" x14ac:dyDescent="0.35">
      <c r="A2076" s="12">
        <v>41536</v>
      </c>
      <c r="B2076" s="12">
        <f t="shared" si="32"/>
        <v>41518</v>
      </c>
      <c r="C2076">
        <v>2.2029000000000001</v>
      </c>
    </row>
    <row r="2077" spans="1:3" x14ac:dyDescent="0.35">
      <c r="A2077" s="12">
        <v>41535</v>
      </c>
      <c r="B2077" s="12">
        <f t="shared" si="32"/>
        <v>41518</v>
      </c>
      <c r="C2077">
        <v>2.2483</v>
      </c>
    </row>
    <row r="2078" spans="1:3" x14ac:dyDescent="0.35">
      <c r="A2078" s="12">
        <v>41534</v>
      </c>
      <c r="B2078" s="12">
        <f t="shared" si="32"/>
        <v>41518</v>
      </c>
      <c r="C2078">
        <v>2.2610999999999999</v>
      </c>
    </row>
    <row r="2079" spans="1:3" x14ac:dyDescent="0.35">
      <c r="A2079" s="12">
        <v>41533</v>
      </c>
      <c r="B2079" s="12">
        <f t="shared" si="32"/>
        <v>41518</v>
      </c>
      <c r="C2079">
        <v>2.2643</v>
      </c>
    </row>
    <row r="2080" spans="1:3" x14ac:dyDescent="0.35">
      <c r="A2080" s="12">
        <v>41530</v>
      </c>
      <c r="B2080" s="12">
        <f t="shared" si="32"/>
        <v>41518</v>
      </c>
      <c r="C2080">
        <v>2.2778999999999998</v>
      </c>
    </row>
    <row r="2081" spans="1:3" x14ac:dyDescent="0.35">
      <c r="A2081" s="12">
        <v>41529</v>
      </c>
      <c r="B2081" s="12">
        <f t="shared" si="32"/>
        <v>41518</v>
      </c>
      <c r="C2081">
        <v>2.2763</v>
      </c>
    </row>
    <row r="2082" spans="1:3" x14ac:dyDescent="0.35">
      <c r="A2082" s="12">
        <v>41528</v>
      </c>
      <c r="B2082" s="12">
        <f t="shared" si="32"/>
        <v>41518</v>
      </c>
      <c r="C2082">
        <v>2.2940999999999998</v>
      </c>
    </row>
    <row r="2083" spans="1:3" x14ac:dyDescent="0.35">
      <c r="A2083" s="12">
        <v>41527</v>
      </c>
      <c r="B2083" s="12">
        <f t="shared" si="32"/>
        <v>41518</v>
      </c>
      <c r="C2083">
        <v>2.2772999999999999</v>
      </c>
    </row>
    <row r="2084" spans="1:3" x14ac:dyDescent="0.35">
      <c r="A2084" s="12">
        <v>41526</v>
      </c>
      <c r="B2084" s="12">
        <f t="shared" si="32"/>
        <v>41518</v>
      </c>
      <c r="C2084">
        <v>2.2862</v>
      </c>
    </row>
    <row r="2085" spans="1:3" x14ac:dyDescent="0.35">
      <c r="A2085" s="12">
        <v>41523</v>
      </c>
      <c r="B2085" s="12">
        <f t="shared" si="32"/>
        <v>41518</v>
      </c>
      <c r="C2085">
        <v>2.2972999999999999</v>
      </c>
    </row>
    <row r="2086" spans="1:3" x14ac:dyDescent="0.35">
      <c r="A2086" s="12">
        <v>41522</v>
      </c>
      <c r="B2086" s="12">
        <f t="shared" si="32"/>
        <v>41518</v>
      </c>
      <c r="C2086">
        <v>2.3308</v>
      </c>
    </row>
    <row r="2087" spans="1:3" x14ac:dyDescent="0.35">
      <c r="A2087" s="12">
        <v>41521</v>
      </c>
      <c r="B2087" s="12">
        <f t="shared" si="32"/>
        <v>41518</v>
      </c>
      <c r="C2087">
        <v>2.3532000000000002</v>
      </c>
    </row>
    <row r="2088" spans="1:3" x14ac:dyDescent="0.35">
      <c r="A2088" s="12">
        <v>41520</v>
      </c>
      <c r="B2088" s="12">
        <f t="shared" si="32"/>
        <v>41518</v>
      </c>
      <c r="C2088">
        <v>2.3891</v>
      </c>
    </row>
    <row r="2089" spans="1:3" x14ac:dyDescent="0.35">
      <c r="A2089" s="12">
        <v>41519</v>
      </c>
      <c r="B2089" s="12">
        <f t="shared" si="32"/>
        <v>41518</v>
      </c>
      <c r="C2089">
        <v>2.3637000000000001</v>
      </c>
    </row>
    <row r="2090" spans="1:3" x14ac:dyDescent="0.35">
      <c r="A2090" s="12">
        <v>41516</v>
      </c>
      <c r="B2090" s="12">
        <f t="shared" si="32"/>
        <v>41487</v>
      </c>
      <c r="C2090">
        <v>2.3719000000000001</v>
      </c>
    </row>
    <row r="2091" spans="1:3" x14ac:dyDescent="0.35">
      <c r="A2091" s="12">
        <v>41515</v>
      </c>
      <c r="B2091" s="12">
        <f t="shared" si="32"/>
        <v>41487</v>
      </c>
      <c r="C2091">
        <v>2.3572000000000002</v>
      </c>
    </row>
    <row r="2092" spans="1:3" x14ac:dyDescent="0.35">
      <c r="A2092" s="12">
        <v>41514</v>
      </c>
      <c r="B2092" s="12">
        <f t="shared" si="32"/>
        <v>41487</v>
      </c>
      <c r="C2092">
        <v>2.3509000000000002</v>
      </c>
    </row>
    <row r="2093" spans="1:3" x14ac:dyDescent="0.35">
      <c r="A2093" s="12">
        <v>41513</v>
      </c>
      <c r="B2093" s="12">
        <f t="shared" si="32"/>
        <v>41487</v>
      </c>
      <c r="C2093">
        <v>2.3992</v>
      </c>
    </row>
    <row r="2094" spans="1:3" x14ac:dyDescent="0.35">
      <c r="A2094" s="12">
        <v>41512</v>
      </c>
      <c r="B2094" s="12">
        <f t="shared" si="32"/>
        <v>41487</v>
      </c>
      <c r="C2094">
        <v>2.3698999999999999</v>
      </c>
    </row>
    <row r="2095" spans="1:3" x14ac:dyDescent="0.35">
      <c r="A2095" s="12">
        <v>41509</v>
      </c>
      <c r="B2095" s="12">
        <f t="shared" si="32"/>
        <v>41487</v>
      </c>
      <c r="C2095">
        <v>2.3862000000000001</v>
      </c>
    </row>
    <row r="2096" spans="1:3" x14ac:dyDescent="0.35">
      <c r="A2096" s="12">
        <v>41508</v>
      </c>
      <c r="B2096" s="12">
        <f t="shared" si="32"/>
        <v>41487</v>
      </c>
      <c r="C2096">
        <v>2.4451000000000001</v>
      </c>
    </row>
    <row r="2097" spans="1:3" x14ac:dyDescent="0.35">
      <c r="A2097" s="12">
        <v>41507</v>
      </c>
      <c r="B2097" s="12">
        <f t="shared" si="32"/>
        <v>41487</v>
      </c>
      <c r="C2097">
        <v>2.4163000000000001</v>
      </c>
    </row>
    <row r="2098" spans="1:3" x14ac:dyDescent="0.35">
      <c r="A2098" s="12">
        <v>41506</v>
      </c>
      <c r="B2098" s="12">
        <f t="shared" si="32"/>
        <v>41487</v>
      </c>
      <c r="C2098">
        <v>2.3936999999999999</v>
      </c>
    </row>
    <row r="2099" spans="1:3" x14ac:dyDescent="0.35">
      <c r="A2099" s="12">
        <v>41505</v>
      </c>
      <c r="B2099" s="12">
        <f t="shared" si="32"/>
        <v>41487</v>
      </c>
      <c r="C2099">
        <v>2.3974000000000002</v>
      </c>
    </row>
    <row r="2100" spans="1:3" x14ac:dyDescent="0.35">
      <c r="A2100" s="12">
        <v>41502</v>
      </c>
      <c r="B2100" s="12">
        <f t="shared" si="32"/>
        <v>41487</v>
      </c>
      <c r="C2100">
        <v>2.3559000000000001</v>
      </c>
    </row>
    <row r="2101" spans="1:3" x14ac:dyDescent="0.35">
      <c r="A2101" s="12">
        <v>41501</v>
      </c>
      <c r="B2101" s="12">
        <f t="shared" si="32"/>
        <v>41487</v>
      </c>
      <c r="C2101">
        <v>2.3428</v>
      </c>
    </row>
    <row r="2102" spans="1:3" x14ac:dyDescent="0.35">
      <c r="A2102" s="12">
        <v>41500</v>
      </c>
      <c r="B2102" s="12">
        <f t="shared" si="32"/>
        <v>41487</v>
      </c>
      <c r="C2102">
        <v>2.3111999999999999</v>
      </c>
    </row>
    <row r="2103" spans="1:3" x14ac:dyDescent="0.35">
      <c r="A2103" s="12">
        <v>41499</v>
      </c>
      <c r="B2103" s="12">
        <f t="shared" si="32"/>
        <v>41487</v>
      </c>
      <c r="C2103">
        <v>2.3029000000000002</v>
      </c>
    </row>
    <row r="2104" spans="1:3" x14ac:dyDescent="0.35">
      <c r="A2104" s="12">
        <v>41498</v>
      </c>
      <c r="B2104" s="12">
        <f t="shared" si="32"/>
        <v>41487</v>
      </c>
      <c r="C2104">
        <v>2.2715999999999998</v>
      </c>
    </row>
    <row r="2105" spans="1:3" x14ac:dyDescent="0.35">
      <c r="A2105" s="12">
        <v>41495</v>
      </c>
      <c r="B2105" s="12">
        <f t="shared" si="32"/>
        <v>41487</v>
      </c>
      <c r="C2105">
        <v>2.2743000000000002</v>
      </c>
    </row>
    <row r="2106" spans="1:3" x14ac:dyDescent="0.35">
      <c r="A2106" s="12">
        <v>41494</v>
      </c>
      <c r="B2106" s="12">
        <f t="shared" si="32"/>
        <v>41487</v>
      </c>
      <c r="C2106">
        <v>2.2875999999999999</v>
      </c>
    </row>
    <row r="2107" spans="1:3" x14ac:dyDescent="0.35">
      <c r="A2107" s="12">
        <v>41493</v>
      </c>
      <c r="B2107" s="12">
        <f t="shared" si="32"/>
        <v>41487</v>
      </c>
      <c r="C2107">
        <v>2.3022</v>
      </c>
    </row>
    <row r="2108" spans="1:3" x14ac:dyDescent="0.35">
      <c r="A2108" s="12">
        <v>41492</v>
      </c>
      <c r="B2108" s="12">
        <f t="shared" si="32"/>
        <v>41487</v>
      </c>
      <c r="C2108">
        <v>2.2949000000000002</v>
      </c>
    </row>
    <row r="2109" spans="1:3" x14ac:dyDescent="0.35">
      <c r="A2109" s="12">
        <v>41491</v>
      </c>
      <c r="B2109" s="12">
        <f t="shared" si="32"/>
        <v>41487</v>
      </c>
      <c r="C2109">
        <v>2.3003999999999998</v>
      </c>
    </row>
    <row r="2110" spans="1:3" x14ac:dyDescent="0.35">
      <c r="A2110" s="12">
        <v>41488</v>
      </c>
      <c r="B2110" s="12">
        <f t="shared" si="32"/>
        <v>41487</v>
      </c>
      <c r="C2110">
        <v>2.2927</v>
      </c>
    </row>
    <row r="2111" spans="1:3" x14ac:dyDescent="0.35">
      <c r="A2111" s="12">
        <v>41487</v>
      </c>
      <c r="B2111" s="12">
        <f t="shared" si="32"/>
        <v>41487</v>
      </c>
      <c r="C2111">
        <v>2.2907999999999999</v>
      </c>
    </row>
    <row r="2112" spans="1:3" x14ac:dyDescent="0.35">
      <c r="A2112" s="12">
        <v>41486</v>
      </c>
      <c r="B2112" s="12">
        <f t="shared" si="32"/>
        <v>41456</v>
      </c>
      <c r="C2112">
        <v>2.2896999999999998</v>
      </c>
    </row>
    <row r="2113" spans="1:3" x14ac:dyDescent="0.35">
      <c r="A2113" s="12">
        <v>41485</v>
      </c>
      <c r="B2113" s="12">
        <f t="shared" si="32"/>
        <v>41456</v>
      </c>
      <c r="C2113">
        <v>2.2728999999999999</v>
      </c>
    </row>
    <row r="2114" spans="1:3" x14ac:dyDescent="0.35">
      <c r="A2114" s="12">
        <v>41484</v>
      </c>
      <c r="B2114" s="12">
        <f t="shared" si="32"/>
        <v>41456</v>
      </c>
      <c r="C2114">
        <v>2.2603</v>
      </c>
    </row>
    <row r="2115" spans="1:3" x14ac:dyDescent="0.35">
      <c r="A2115" s="12">
        <v>41481</v>
      </c>
      <c r="B2115" s="12">
        <f t="shared" ref="B2115:B2178" si="33">DATE(YEAR(A2115),MONTH(A2115),DAY(1))</f>
        <v>41456</v>
      </c>
      <c r="C2115">
        <v>2.2483</v>
      </c>
    </row>
    <row r="2116" spans="1:3" x14ac:dyDescent="0.35">
      <c r="A2116" s="12">
        <v>41480</v>
      </c>
      <c r="B2116" s="12">
        <f t="shared" si="33"/>
        <v>41456</v>
      </c>
      <c r="C2116">
        <v>2.2490999999999999</v>
      </c>
    </row>
    <row r="2117" spans="1:3" x14ac:dyDescent="0.35">
      <c r="A2117" s="12">
        <v>41479</v>
      </c>
      <c r="B2117" s="12">
        <f t="shared" si="33"/>
        <v>41456</v>
      </c>
      <c r="C2117">
        <v>2.2342</v>
      </c>
    </row>
    <row r="2118" spans="1:3" x14ac:dyDescent="0.35">
      <c r="A2118" s="12">
        <v>41478</v>
      </c>
      <c r="B2118" s="12">
        <f t="shared" si="33"/>
        <v>41456</v>
      </c>
      <c r="C2118">
        <v>2.2261000000000002</v>
      </c>
    </row>
    <row r="2119" spans="1:3" x14ac:dyDescent="0.35">
      <c r="A2119" s="12">
        <v>41477</v>
      </c>
      <c r="B2119" s="12">
        <f t="shared" si="33"/>
        <v>41456</v>
      </c>
      <c r="C2119">
        <v>2.238</v>
      </c>
    </row>
    <row r="2120" spans="1:3" x14ac:dyDescent="0.35">
      <c r="A2120" s="12">
        <v>41474</v>
      </c>
      <c r="B2120" s="12">
        <f t="shared" si="33"/>
        <v>41456</v>
      </c>
      <c r="C2120">
        <v>2.2357999999999998</v>
      </c>
    </row>
    <row r="2121" spans="1:3" x14ac:dyDescent="0.35">
      <c r="A2121" s="12">
        <v>41473</v>
      </c>
      <c r="B2121" s="12">
        <f t="shared" si="33"/>
        <v>41456</v>
      </c>
      <c r="C2121">
        <v>2.2290999999999999</v>
      </c>
    </row>
    <row r="2122" spans="1:3" x14ac:dyDescent="0.35">
      <c r="A2122" s="12">
        <v>41472</v>
      </c>
      <c r="B2122" s="12">
        <f t="shared" si="33"/>
        <v>41456</v>
      </c>
      <c r="C2122">
        <v>2.2366000000000001</v>
      </c>
    </row>
    <row r="2123" spans="1:3" x14ac:dyDescent="0.35">
      <c r="A2123" s="12">
        <v>41471</v>
      </c>
      <c r="B2123" s="12">
        <f t="shared" si="33"/>
        <v>41456</v>
      </c>
      <c r="C2123">
        <v>2.2347000000000001</v>
      </c>
    </row>
    <row r="2124" spans="1:3" x14ac:dyDescent="0.35">
      <c r="A2124" s="12">
        <v>41470</v>
      </c>
      <c r="B2124" s="12">
        <f t="shared" si="33"/>
        <v>41456</v>
      </c>
      <c r="C2124">
        <v>2.2543000000000002</v>
      </c>
    </row>
    <row r="2125" spans="1:3" x14ac:dyDescent="0.35">
      <c r="A2125" s="12">
        <v>41467</v>
      </c>
      <c r="B2125" s="12">
        <f t="shared" si="33"/>
        <v>41456</v>
      </c>
      <c r="C2125">
        <v>2.2664</v>
      </c>
    </row>
    <row r="2126" spans="1:3" x14ac:dyDescent="0.35">
      <c r="A2126" s="12">
        <v>41466</v>
      </c>
      <c r="B2126" s="12">
        <f t="shared" si="33"/>
        <v>41456</v>
      </c>
      <c r="C2126">
        <v>2.2665999999999999</v>
      </c>
    </row>
    <row r="2127" spans="1:3" x14ac:dyDescent="0.35">
      <c r="A2127" s="12">
        <v>41465</v>
      </c>
      <c r="B2127" s="12">
        <f t="shared" si="33"/>
        <v>41456</v>
      </c>
      <c r="C2127">
        <v>2.2690999999999999</v>
      </c>
    </row>
    <row r="2128" spans="1:3" x14ac:dyDescent="0.35">
      <c r="A2128" s="12">
        <v>41464</v>
      </c>
      <c r="B2128" s="12">
        <f t="shared" si="33"/>
        <v>41456</v>
      </c>
      <c r="C2128">
        <v>2.2614999999999998</v>
      </c>
    </row>
    <row r="2129" spans="1:3" x14ac:dyDescent="0.35">
      <c r="A2129" s="12">
        <v>41463</v>
      </c>
      <c r="B2129" s="12">
        <f t="shared" si="33"/>
        <v>41456</v>
      </c>
      <c r="C2129">
        <v>2.2576999999999998</v>
      </c>
    </row>
    <row r="2130" spans="1:3" x14ac:dyDescent="0.35">
      <c r="A2130" s="12">
        <v>41460</v>
      </c>
      <c r="B2130" s="12">
        <f t="shared" si="33"/>
        <v>41456</v>
      </c>
      <c r="C2130">
        <v>2.2639</v>
      </c>
    </row>
    <row r="2131" spans="1:3" x14ac:dyDescent="0.35">
      <c r="A2131" s="12">
        <v>41459</v>
      </c>
      <c r="B2131" s="12">
        <f t="shared" si="33"/>
        <v>41456</v>
      </c>
      <c r="C2131">
        <v>2.2589000000000001</v>
      </c>
    </row>
    <row r="2132" spans="1:3" x14ac:dyDescent="0.35">
      <c r="A2132" s="12">
        <v>41458</v>
      </c>
      <c r="B2132" s="12">
        <f t="shared" si="33"/>
        <v>41456</v>
      </c>
      <c r="C2132">
        <v>2.2627999999999999</v>
      </c>
    </row>
    <row r="2133" spans="1:3" x14ac:dyDescent="0.35">
      <c r="A2133" s="12">
        <v>41457</v>
      </c>
      <c r="B2133" s="12">
        <f t="shared" si="33"/>
        <v>41456</v>
      </c>
      <c r="C2133">
        <v>2.2406999999999999</v>
      </c>
    </row>
    <row r="2134" spans="1:3" x14ac:dyDescent="0.35">
      <c r="A2134" s="12">
        <v>41456</v>
      </c>
      <c r="B2134" s="12">
        <f t="shared" si="33"/>
        <v>41456</v>
      </c>
      <c r="C2134">
        <v>2.2292000000000001</v>
      </c>
    </row>
    <row r="2135" spans="1:3" x14ac:dyDescent="0.35">
      <c r="A2135" s="12">
        <v>41453</v>
      </c>
      <c r="B2135" s="12">
        <f t="shared" si="33"/>
        <v>41426</v>
      </c>
      <c r="C2135">
        <v>2.2149999999999999</v>
      </c>
    </row>
    <row r="2136" spans="1:3" x14ac:dyDescent="0.35">
      <c r="A2136" s="12">
        <v>41452</v>
      </c>
      <c r="B2136" s="12">
        <f t="shared" si="33"/>
        <v>41426</v>
      </c>
      <c r="C2136">
        <v>2.1840000000000002</v>
      </c>
    </row>
    <row r="2137" spans="1:3" x14ac:dyDescent="0.35">
      <c r="A2137" s="12">
        <v>41451</v>
      </c>
      <c r="B2137" s="12">
        <f t="shared" si="33"/>
        <v>41426</v>
      </c>
      <c r="C2137">
        <v>2.1968999999999999</v>
      </c>
    </row>
    <row r="2138" spans="1:3" x14ac:dyDescent="0.35">
      <c r="A2138" s="12">
        <v>41450</v>
      </c>
      <c r="B2138" s="12">
        <f t="shared" si="33"/>
        <v>41426</v>
      </c>
      <c r="C2138">
        <v>2.218</v>
      </c>
    </row>
    <row r="2139" spans="1:3" x14ac:dyDescent="0.35">
      <c r="A2139" s="12">
        <v>41449</v>
      </c>
      <c r="B2139" s="12">
        <f t="shared" si="33"/>
        <v>41426</v>
      </c>
      <c r="C2139">
        <v>2.2509000000000001</v>
      </c>
    </row>
    <row r="2140" spans="1:3" x14ac:dyDescent="0.35">
      <c r="A2140" s="12">
        <v>41446</v>
      </c>
      <c r="B2140" s="12">
        <f t="shared" si="33"/>
        <v>41426</v>
      </c>
      <c r="C2140">
        <v>2.2642000000000002</v>
      </c>
    </row>
    <row r="2141" spans="1:3" x14ac:dyDescent="0.35">
      <c r="A2141" s="12">
        <v>41445</v>
      </c>
      <c r="B2141" s="12">
        <f t="shared" si="33"/>
        <v>41426</v>
      </c>
      <c r="C2141">
        <v>2.2517</v>
      </c>
    </row>
    <row r="2142" spans="1:3" x14ac:dyDescent="0.35">
      <c r="A2142" s="12">
        <v>41444</v>
      </c>
      <c r="B2142" s="12">
        <f t="shared" si="33"/>
        <v>41426</v>
      </c>
      <c r="C2142">
        <v>2.1738</v>
      </c>
    </row>
    <row r="2143" spans="1:3" x14ac:dyDescent="0.35">
      <c r="A2143" s="12">
        <v>41443</v>
      </c>
      <c r="B2143" s="12">
        <f t="shared" si="33"/>
        <v>41426</v>
      </c>
      <c r="C2143">
        <v>2.17</v>
      </c>
    </row>
    <row r="2144" spans="1:3" x14ac:dyDescent="0.35">
      <c r="A2144" s="12">
        <v>41442</v>
      </c>
      <c r="B2144" s="12">
        <f t="shared" si="33"/>
        <v>41426</v>
      </c>
      <c r="C2144">
        <v>2.1532</v>
      </c>
    </row>
    <row r="2145" spans="1:3" x14ac:dyDescent="0.35">
      <c r="A2145" s="12">
        <v>41439</v>
      </c>
      <c r="B2145" s="12">
        <f t="shared" si="33"/>
        <v>41426</v>
      </c>
      <c r="C2145">
        <v>2.1360999999999999</v>
      </c>
    </row>
    <row r="2146" spans="1:3" x14ac:dyDescent="0.35">
      <c r="A2146" s="12">
        <v>41438</v>
      </c>
      <c r="B2146" s="12">
        <f t="shared" si="33"/>
        <v>41426</v>
      </c>
      <c r="C2146">
        <v>2.1440999999999999</v>
      </c>
    </row>
    <row r="2147" spans="1:3" x14ac:dyDescent="0.35">
      <c r="A2147" s="12">
        <v>41437</v>
      </c>
      <c r="B2147" s="12">
        <f t="shared" si="33"/>
        <v>41426</v>
      </c>
      <c r="C2147">
        <v>2.1415000000000002</v>
      </c>
    </row>
    <row r="2148" spans="1:3" x14ac:dyDescent="0.35">
      <c r="A2148" s="12">
        <v>41436</v>
      </c>
      <c r="B2148" s="12">
        <f t="shared" si="33"/>
        <v>41426</v>
      </c>
      <c r="C2148">
        <v>2.1515</v>
      </c>
    </row>
    <row r="2149" spans="1:3" x14ac:dyDescent="0.35">
      <c r="A2149" s="12">
        <v>41435</v>
      </c>
      <c r="B2149" s="12">
        <f t="shared" si="33"/>
        <v>41426</v>
      </c>
      <c r="C2149">
        <v>2.1501000000000001</v>
      </c>
    </row>
    <row r="2150" spans="1:3" x14ac:dyDescent="0.35">
      <c r="A2150" s="12">
        <v>41432</v>
      </c>
      <c r="B2150" s="12">
        <f t="shared" si="33"/>
        <v>41426</v>
      </c>
      <c r="C2150">
        <v>2.1366999999999998</v>
      </c>
    </row>
    <row r="2151" spans="1:3" x14ac:dyDescent="0.35">
      <c r="A2151" s="12">
        <v>41431</v>
      </c>
      <c r="B2151" s="12">
        <f t="shared" si="33"/>
        <v>41426</v>
      </c>
      <c r="C2151">
        <v>2.1244000000000001</v>
      </c>
    </row>
    <row r="2152" spans="1:3" x14ac:dyDescent="0.35">
      <c r="A2152" s="12">
        <v>41430</v>
      </c>
      <c r="B2152" s="12">
        <f t="shared" si="33"/>
        <v>41426</v>
      </c>
      <c r="C2152">
        <v>2.1229</v>
      </c>
    </row>
    <row r="2153" spans="1:3" x14ac:dyDescent="0.35">
      <c r="A2153" s="12">
        <v>41429</v>
      </c>
      <c r="B2153" s="12">
        <f t="shared" si="33"/>
        <v>41426</v>
      </c>
      <c r="C2153">
        <v>2.1276000000000002</v>
      </c>
    </row>
    <row r="2154" spans="1:3" x14ac:dyDescent="0.35">
      <c r="A2154" s="12">
        <v>41428</v>
      </c>
      <c r="B2154" s="12">
        <f t="shared" si="33"/>
        <v>41426</v>
      </c>
      <c r="C2154">
        <v>2.1349</v>
      </c>
    </row>
    <row r="2155" spans="1:3" x14ac:dyDescent="0.35">
      <c r="A2155" s="12">
        <v>41425</v>
      </c>
      <c r="B2155" s="12">
        <f t="shared" si="33"/>
        <v>41395</v>
      </c>
      <c r="C2155">
        <v>2.1314000000000002</v>
      </c>
    </row>
    <row r="2156" spans="1:3" x14ac:dyDescent="0.35">
      <c r="A2156" s="12">
        <v>41423</v>
      </c>
      <c r="B2156" s="12">
        <f t="shared" si="33"/>
        <v>41395</v>
      </c>
      <c r="C2156">
        <v>2.0888</v>
      </c>
    </row>
    <row r="2157" spans="1:3" x14ac:dyDescent="0.35">
      <c r="A2157" s="12">
        <v>41422</v>
      </c>
      <c r="B2157" s="12">
        <f t="shared" si="33"/>
        <v>41395</v>
      </c>
      <c r="C2157">
        <v>2.0609999999999999</v>
      </c>
    </row>
    <row r="2158" spans="1:3" x14ac:dyDescent="0.35">
      <c r="A2158" s="12">
        <v>41421</v>
      </c>
      <c r="B2158" s="12">
        <f t="shared" si="33"/>
        <v>41395</v>
      </c>
      <c r="C2158">
        <v>2.0520999999999998</v>
      </c>
    </row>
    <row r="2159" spans="1:3" x14ac:dyDescent="0.35">
      <c r="A2159" s="12">
        <v>41418</v>
      </c>
      <c r="B2159" s="12">
        <f t="shared" si="33"/>
        <v>41395</v>
      </c>
      <c r="C2159">
        <v>2.0489000000000002</v>
      </c>
    </row>
    <row r="2160" spans="1:3" x14ac:dyDescent="0.35">
      <c r="A2160" s="12">
        <v>41417</v>
      </c>
      <c r="B2160" s="12">
        <f t="shared" si="33"/>
        <v>41395</v>
      </c>
      <c r="C2160">
        <v>2.0531000000000001</v>
      </c>
    </row>
    <row r="2161" spans="1:3" x14ac:dyDescent="0.35">
      <c r="A2161" s="12">
        <v>41416</v>
      </c>
      <c r="B2161" s="12">
        <f t="shared" si="33"/>
        <v>41395</v>
      </c>
      <c r="C2161">
        <v>2.0381</v>
      </c>
    </row>
    <row r="2162" spans="1:3" x14ac:dyDescent="0.35">
      <c r="A2162" s="12">
        <v>41415</v>
      </c>
      <c r="B2162" s="12">
        <f t="shared" si="33"/>
        <v>41395</v>
      </c>
      <c r="C2162">
        <v>2.0396000000000001</v>
      </c>
    </row>
    <row r="2163" spans="1:3" x14ac:dyDescent="0.35">
      <c r="A2163" s="12">
        <v>41414</v>
      </c>
      <c r="B2163" s="12">
        <f t="shared" si="33"/>
        <v>41395</v>
      </c>
      <c r="C2163">
        <v>2.0327999999999999</v>
      </c>
    </row>
    <row r="2164" spans="1:3" x14ac:dyDescent="0.35">
      <c r="A2164" s="12">
        <v>41411</v>
      </c>
      <c r="B2164" s="12">
        <f t="shared" si="33"/>
        <v>41395</v>
      </c>
      <c r="C2164">
        <v>2.0348000000000002</v>
      </c>
    </row>
    <row r="2165" spans="1:3" x14ac:dyDescent="0.35">
      <c r="A2165" s="12">
        <v>41410</v>
      </c>
      <c r="B2165" s="12">
        <f t="shared" si="33"/>
        <v>41395</v>
      </c>
      <c r="C2165">
        <v>2.0249000000000001</v>
      </c>
    </row>
    <row r="2166" spans="1:3" x14ac:dyDescent="0.35">
      <c r="A2166" s="12">
        <v>41409</v>
      </c>
      <c r="B2166" s="12">
        <f t="shared" si="33"/>
        <v>41395</v>
      </c>
      <c r="C2166">
        <v>2.0226999999999999</v>
      </c>
    </row>
    <row r="2167" spans="1:3" x14ac:dyDescent="0.35">
      <c r="A2167" s="12">
        <v>41408</v>
      </c>
      <c r="B2167" s="12">
        <f t="shared" si="33"/>
        <v>41395</v>
      </c>
      <c r="C2167">
        <v>2.0057</v>
      </c>
    </row>
    <row r="2168" spans="1:3" x14ac:dyDescent="0.35">
      <c r="A2168" s="12">
        <v>41407</v>
      </c>
      <c r="B2168" s="12">
        <f t="shared" si="33"/>
        <v>41395</v>
      </c>
      <c r="C2168">
        <v>2.0144000000000002</v>
      </c>
    </row>
    <row r="2169" spans="1:3" x14ac:dyDescent="0.35">
      <c r="A2169" s="12">
        <v>41404</v>
      </c>
      <c r="B2169" s="12">
        <f t="shared" si="33"/>
        <v>41395</v>
      </c>
      <c r="C2169">
        <v>2.0225</v>
      </c>
    </row>
    <row r="2170" spans="1:3" x14ac:dyDescent="0.35">
      <c r="A2170" s="12">
        <v>41403</v>
      </c>
      <c r="B2170" s="12">
        <f t="shared" si="33"/>
        <v>41395</v>
      </c>
      <c r="C2170">
        <v>2.0045999999999999</v>
      </c>
    </row>
    <row r="2171" spans="1:3" x14ac:dyDescent="0.35">
      <c r="A2171" s="12">
        <v>41402</v>
      </c>
      <c r="B2171" s="12">
        <f t="shared" si="33"/>
        <v>41395</v>
      </c>
      <c r="C2171">
        <v>2.0024000000000002</v>
      </c>
    </row>
    <row r="2172" spans="1:3" x14ac:dyDescent="0.35">
      <c r="A2172" s="12">
        <v>41401</v>
      </c>
      <c r="B2172" s="12">
        <f t="shared" si="33"/>
        <v>41395</v>
      </c>
      <c r="C2172">
        <v>2.0104000000000002</v>
      </c>
    </row>
    <row r="2173" spans="1:3" x14ac:dyDescent="0.35">
      <c r="A2173" s="12">
        <v>41400</v>
      </c>
      <c r="B2173" s="12">
        <f t="shared" si="33"/>
        <v>41395</v>
      </c>
      <c r="C2173">
        <v>2.0137</v>
      </c>
    </row>
    <row r="2174" spans="1:3" x14ac:dyDescent="0.35">
      <c r="A2174" s="12">
        <v>41397</v>
      </c>
      <c r="B2174" s="12">
        <f t="shared" si="33"/>
        <v>41395</v>
      </c>
      <c r="C2174">
        <v>2.0087999999999999</v>
      </c>
    </row>
    <row r="2175" spans="1:3" x14ac:dyDescent="0.35">
      <c r="A2175" s="12">
        <v>41396</v>
      </c>
      <c r="B2175" s="12">
        <f t="shared" si="33"/>
        <v>41395</v>
      </c>
      <c r="C2175">
        <v>2.0089000000000001</v>
      </c>
    </row>
    <row r="2176" spans="1:3" x14ac:dyDescent="0.35">
      <c r="A2176" s="12">
        <v>41394</v>
      </c>
      <c r="B2176" s="12">
        <f t="shared" si="33"/>
        <v>41365</v>
      </c>
      <c r="C2176">
        <v>2.0011000000000001</v>
      </c>
    </row>
    <row r="2177" spans="1:3" x14ac:dyDescent="0.35">
      <c r="A2177" s="12">
        <v>41393</v>
      </c>
      <c r="B2177" s="12">
        <f t="shared" si="33"/>
        <v>41365</v>
      </c>
      <c r="C2177">
        <v>1.9993000000000001</v>
      </c>
    </row>
    <row r="2178" spans="1:3" x14ac:dyDescent="0.35">
      <c r="A2178" s="12">
        <v>41390</v>
      </c>
      <c r="B2178" s="12">
        <f t="shared" si="33"/>
        <v>41365</v>
      </c>
      <c r="C2178">
        <v>1.9995000000000001</v>
      </c>
    </row>
    <row r="2179" spans="1:3" x14ac:dyDescent="0.35">
      <c r="A2179" s="12">
        <v>41389</v>
      </c>
      <c r="B2179" s="12">
        <f t="shared" ref="B2179:B2242" si="34">DATE(YEAR(A2179),MONTH(A2179),DAY(1))</f>
        <v>41365</v>
      </c>
      <c r="C2179">
        <v>2.0114000000000001</v>
      </c>
    </row>
    <row r="2180" spans="1:3" x14ac:dyDescent="0.35">
      <c r="A2180" s="12">
        <v>41388</v>
      </c>
      <c r="B2180" s="12">
        <f t="shared" si="34"/>
        <v>41365</v>
      </c>
      <c r="C2180">
        <v>2.0238</v>
      </c>
    </row>
    <row r="2181" spans="1:3" x14ac:dyDescent="0.35">
      <c r="A2181" s="12">
        <v>41387</v>
      </c>
      <c r="B2181" s="12">
        <f t="shared" si="34"/>
        <v>41365</v>
      </c>
      <c r="C2181">
        <v>2.0164</v>
      </c>
    </row>
    <row r="2182" spans="1:3" x14ac:dyDescent="0.35">
      <c r="A2182" s="12">
        <v>41386</v>
      </c>
      <c r="B2182" s="12">
        <f t="shared" si="34"/>
        <v>41365</v>
      </c>
      <c r="C2182">
        <v>2.0148000000000001</v>
      </c>
    </row>
    <row r="2183" spans="1:3" x14ac:dyDescent="0.35">
      <c r="A2183" s="12">
        <v>41383</v>
      </c>
      <c r="B2183" s="12">
        <f t="shared" si="34"/>
        <v>41365</v>
      </c>
      <c r="C2183">
        <v>2.0084</v>
      </c>
    </row>
    <row r="2184" spans="1:3" x14ac:dyDescent="0.35">
      <c r="A2184" s="12">
        <v>41382</v>
      </c>
      <c r="B2184" s="12">
        <f t="shared" si="34"/>
        <v>41365</v>
      </c>
      <c r="C2184">
        <v>2.0146000000000002</v>
      </c>
    </row>
    <row r="2185" spans="1:3" x14ac:dyDescent="0.35">
      <c r="A2185" s="12">
        <v>41381</v>
      </c>
      <c r="B2185" s="12">
        <f t="shared" si="34"/>
        <v>41365</v>
      </c>
      <c r="C2185">
        <v>1.9933000000000001</v>
      </c>
    </row>
    <row r="2186" spans="1:3" x14ac:dyDescent="0.35">
      <c r="A2186" s="12">
        <v>41380</v>
      </c>
      <c r="B2186" s="12">
        <f t="shared" si="34"/>
        <v>41365</v>
      </c>
      <c r="C2186">
        <v>1.9897</v>
      </c>
    </row>
    <row r="2187" spans="1:3" x14ac:dyDescent="0.35">
      <c r="A2187" s="12">
        <v>41379</v>
      </c>
      <c r="B2187" s="12">
        <f t="shared" si="34"/>
        <v>41365</v>
      </c>
      <c r="C2187">
        <v>1.9783999999999999</v>
      </c>
    </row>
    <row r="2188" spans="1:3" x14ac:dyDescent="0.35">
      <c r="A2188" s="12">
        <v>41376</v>
      </c>
      <c r="B2188" s="12">
        <f t="shared" si="34"/>
        <v>41365</v>
      </c>
      <c r="C2188">
        <v>1.9755</v>
      </c>
    </row>
    <row r="2189" spans="1:3" x14ac:dyDescent="0.35">
      <c r="A2189" s="12">
        <v>41375</v>
      </c>
      <c r="B2189" s="12">
        <f t="shared" si="34"/>
        <v>41365</v>
      </c>
      <c r="C2189">
        <v>1.9731000000000001</v>
      </c>
    </row>
    <row r="2190" spans="1:3" x14ac:dyDescent="0.35">
      <c r="A2190" s="12">
        <v>41374</v>
      </c>
      <c r="B2190" s="12">
        <f t="shared" si="34"/>
        <v>41365</v>
      </c>
      <c r="C2190">
        <v>1.9803999999999999</v>
      </c>
    </row>
    <row r="2191" spans="1:3" x14ac:dyDescent="0.35">
      <c r="A2191" s="12">
        <v>41373</v>
      </c>
      <c r="B2191" s="12">
        <f t="shared" si="34"/>
        <v>41365</v>
      </c>
      <c r="C2191">
        <v>1.9855</v>
      </c>
    </row>
    <row r="2192" spans="1:3" x14ac:dyDescent="0.35">
      <c r="A2192" s="12">
        <v>41372</v>
      </c>
      <c r="B2192" s="12">
        <f t="shared" si="34"/>
        <v>41365</v>
      </c>
      <c r="C2192">
        <v>1.9897</v>
      </c>
    </row>
    <row r="2193" spans="1:3" x14ac:dyDescent="0.35">
      <c r="A2193" s="12">
        <v>41369</v>
      </c>
      <c r="B2193" s="12">
        <f t="shared" si="34"/>
        <v>41365</v>
      </c>
      <c r="C2193">
        <v>2.0028999999999999</v>
      </c>
    </row>
    <row r="2194" spans="1:3" x14ac:dyDescent="0.35">
      <c r="A2194" s="12">
        <v>41368</v>
      </c>
      <c r="B2194" s="12">
        <f t="shared" si="34"/>
        <v>41365</v>
      </c>
      <c r="C2194">
        <v>2.0194999999999999</v>
      </c>
    </row>
    <row r="2195" spans="1:3" x14ac:dyDescent="0.35">
      <c r="A2195" s="12">
        <v>41367</v>
      </c>
      <c r="B2195" s="12">
        <f t="shared" si="34"/>
        <v>41365</v>
      </c>
      <c r="C2195">
        <v>2.0232999999999999</v>
      </c>
    </row>
    <row r="2196" spans="1:3" x14ac:dyDescent="0.35">
      <c r="A2196" s="12">
        <v>41366</v>
      </c>
      <c r="B2196" s="12">
        <f t="shared" si="34"/>
        <v>41365</v>
      </c>
      <c r="C2196">
        <v>2.0173000000000001</v>
      </c>
    </row>
    <row r="2197" spans="1:3" x14ac:dyDescent="0.35">
      <c r="A2197" s="12">
        <v>41365</v>
      </c>
      <c r="B2197" s="12">
        <f t="shared" si="34"/>
        <v>41365</v>
      </c>
      <c r="C2197">
        <v>2.0179999999999998</v>
      </c>
    </row>
    <row r="2198" spans="1:3" x14ac:dyDescent="0.35">
      <c r="A2198" s="12">
        <v>41361</v>
      </c>
      <c r="B2198" s="12">
        <f t="shared" si="34"/>
        <v>41334</v>
      </c>
      <c r="C2198">
        <v>2.0131999999999999</v>
      </c>
    </row>
    <row r="2199" spans="1:3" x14ac:dyDescent="0.35">
      <c r="A2199" s="12">
        <v>41360</v>
      </c>
      <c r="B2199" s="12">
        <f t="shared" si="34"/>
        <v>41334</v>
      </c>
      <c r="C2199">
        <v>2.0179</v>
      </c>
    </row>
    <row r="2200" spans="1:3" x14ac:dyDescent="0.35">
      <c r="A2200" s="12">
        <v>41359</v>
      </c>
      <c r="B2200" s="12">
        <f t="shared" si="34"/>
        <v>41334</v>
      </c>
      <c r="C2200">
        <v>2.0081000000000002</v>
      </c>
    </row>
    <row r="2201" spans="1:3" x14ac:dyDescent="0.35">
      <c r="A2201" s="12">
        <v>41358</v>
      </c>
      <c r="B2201" s="12">
        <f t="shared" si="34"/>
        <v>41334</v>
      </c>
      <c r="C2201">
        <v>2.0133999999999999</v>
      </c>
    </row>
    <row r="2202" spans="1:3" x14ac:dyDescent="0.35">
      <c r="A2202" s="12">
        <v>41355</v>
      </c>
      <c r="B2202" s="12">
        <f t="shared" si="34"/>
        <v>41334</v>
      </c>
      <c r="C2202">
        <v>2.012</v>
      </c>
    </row>
    <row r="2203" spans="1:3" x14ac:dyDescent="0.35">
      <c r="A2203" s="12">
        <v>41354</v>
      </c>
      <c r="B2203" s="12">
        <f t="shared" si="34"/>
        <v>41334</v>
      </c>
      <c r="C2203">
        <v>1.9924999999999999</v>
      </c>
    </row>
    <row r="2204" spans="1:3" x14ac:dyDescent="0.35">
      <c r="A2204" s="12">
        <v>41353</v>
      </c>
      <c r="B2204" s="12">
        <f t="shared" si="34"/>
        <v>41334</v>
      </c>
      <c r="C2204">
        <v>1.9862</v>
      </c>
    </row>
    <row r="2205" spans="1:3" x14ac:dyDescent="0.35">
      <c r="A2205" s="12">
        <v>41352</v>
      </c>
      <c r="B2205" s="12">
        <f t="shared" si="34"/>
        <v>41334</v>
      </c>
      <c r="C2205">
        <v>1.9823999999999999</v>
      </c>
    </row>
    <row r="2206" spans="1:3" x14ac:dyDescent="0.35">
      <c r="A2206" s="12">
        <v>41351</v>
      </c>
      <c r="B2206" s="12">
        <f t="shared" si="34"/>
        <v>41334</v>
      </c>
      <c r="C2206">
        <v>1.9864999999999999</v>
      </c>
    </row>
    <row r="2207" spans="1:3" x14ac:dyDescent="0.35">
      <c r="A2207" s="12">
        <v>41348</v>
      </c>
      <c r="B2207" s="12">
        <f t="shared" si="34"/>
        <v>41334</v>
      </c>
      <c r="C2207">
        <v>1.9742999999999999</v>
      </c>
    </row>
    <row r="2208" spans="1:3" x14ac:dyDescent="0.35">
      <c r="A2208" s="12">
        <v>41347</v>
      </c>
      <c r="B2208" s="12">
        <f t="shared" si="34"/>
        <v>41334</v>
      </c>
      <c r="C2208">
        <v>1.9671000000000001</v>
      </c>
    </row>
    <row r="2209" spans="1:3" x14ac:dyDescent="0.35">
      <c r="A2209" s="12">
        <v>41346</v>
      </c>
      <c r="B2209" s="12">
        <f t="shared" si="34"/>
        <v>41334</v>
      </c>
      <c r="C2209">
        <v>1.9614</v>
      </c>
    </row>
    <row r="2210" spans="1:3" x14ac:dyDescent="0.35">
      <c r="A2210" s="12">
        <v>41345</v>
      </c>
      <c r="B2210" s="12">
        <f t="shared" si="34"/>
        <v>41334</v>
      </c>
      <c r="C2210">
        <v>1.9579</v>
      </c>
    </row>
    <row r="2211" spans="1:3" x14ac:dyDescent="0.35">
      <c r="A2211" s="12">
        <v>41344</v>
      </c>
      <c r="B2211" s="12">
        <f t="shared" si="34"/>
        <v>41334</v>
      </c>
      <c r="C2211">
        <v>1.9545999999999999</v>
      </c>
    </row>
    <row r="2212" spans="1:3" x14ac:dyDescent="0.35">
      <c r="A2212" s="12">
        <v>41341</v>
      </c>
      <c r="B2212" s="12">
        <f t="shared" si="34"/>
        <v>41334</v>
      </c>
      <c r="C2212">
        <v>1.9521999999999999</v>
      </c>
    </row>
    <row r="2213" spans="1:3" x14ac:dyDescent="0.35">
      <c r="A2213" s="12">
        <v>41340</v>
      </c>
      <c r="B2213" s="12">
        <f t="shared" si="34"/>
        <v>41334</v>
      </c>
      <c r="C2213">
        <v>1.9636</v>
      </c>
    </row>
    <row r="2214" spans="1:3" x14ac:dyDescent="0.35">
      <c r="A2214" s="12">
        <v>41339</v>
      </c>
      <c r="B2214" s="12">
        <f t="shared" si="34"/>
        <v>41334</v>
      </c>
      <c r="C2214">
        <v>1.9668000000000001</v>
      </c>
    </row>
    <row r="2215" spans="1:3" x14ac:dyDescent="0.35">
      <c r="A2215" s="12">
        <v>41338</v>
      </c>
      <c r="B2215" s="12">
        <f t="shared" si="34"/>
        <v>41334</v>
      </c>
      <c r="C2215">
        <v>1.9688000000000001</v>
      </c>
    </row>
    <row r="2216" spans="1:3" x14ac:dyDescent="0.35">
      <c r="A2216" s="12">
        <v>41337</v>
      </c>
      <c r="B2216" s="12">
        <f t="shared" si="34"/>
        <v>41334</v>
      </c>
      <c r="C2216">
        <v>1.9822</v>
      </c>
    </row>
    <row r="2217" spans="1:3" x14ac:dyDescent="0.35">
      <c r="A2217" s="12">
        <v>41334</v>
      </c>
      <c r="B2217" s="12">
        <f t="shared" si="34"/>
        <v>41334</v>
      </c>
      <c r="C2217">
        <v>1.9843</v>
      </c>
    </row>
    <row r="2218" spans="1:3" x14ac:dyDescent="0.35">
      <c r="A2218" s="12">
        <v>41333</v>
      </c>
      <c r="B2218" s="12">
        <f t="shared" si="34"/>
        <v>41306</v>
      </c>
      <c r="C2218">
        <v>1.9749000000000001</v>
      </c>
    </row>
    <row r="2219" spans="1:3" x14ac:dyDescent="0.35">
      <c r="A2219" s="12">
        <v>41332</v>
      </c>
      <c r="B2219" s="12">
        <f t="shared" si="34"/>
        <v>41306</v>
      </c>
      <c r="C2219">
        <v>1.9801</v>
      </c>
    </row>
    <row r="2220" spans="1:3" x14ac:dyDescent="0.35">
      <c r="A2220" s="12">
        <v>41331</v>
      </c>
      <c r="B2220" s="12">
        <f t="shared" si="34"/>
        <v>41306</v>
      </c>
      <c r="C2220">
        <v>1.9812000000000001</v>
      </c>
    </row>
    <row r="2221" spans="1:3" x14ac:dyDescent="0.35">
      <c r="A2221" s="12">
        <v>41330</v>
      </c>
      <c r="B2221" s="12">
        <f t="shared" si="34"/>
        <v>41306</v>
      </c>
      <c r="C2221">
        <v>1.9670000000000001</v>
      </c>
    </row>
    <row r="2222" spans="1:3" x14ac:dyDescent="0.35">
      <c r="A2222" s="12">
        <v>41327</v>
      </c>
      <c r="B2222" s="12">
        <f t="shared" si="34"/>
        <v>41306</v>
      </c>
      <c r="C2222">
        <v>1.9699</v>
      </c>
    </row>
    <row r="2223" spans="1:3" x14ac:dyDescent="0.35">
      <c r="A2223" s="12">
        <v>41326</v>
      </c>
      <c r="B2223" s="12">
        <f t="shared" si="34"/>
        <v>41306</v>
      </c>
      <c r="C2223">
        <v>1.9715</v>
      </c>
    </row>
    <row r="2224" spans="1:3" x14ac:dyDescent="0.35">
      <c r="A2224" s="12">
        <v>41325</v>
      </c>
      <c r="B2224" s="12">
        <f t="shared" si="34"/>
        <v>41306</v>
      </c>
      <c r="C2224">
        <v>1.9563999999999999</v>
      </c>
    </row>
    <row r="2225" spans="1:3" x14ac:dyDescent="0.35">
      <c r="A2225" s="12">
        <v>41324</v>
      </c>
      <c r="B2225" s="12">
        <f t="shared" si="34"/>
        <v>41306</v>
      </c>
      <c r="C2225">
        <v>1.9591000000000001</v>
      </c>
    </row>
    <row r="2226" spans="1:3" x14ac:dyDescent="0.35">
      <c r="A2226" s="12">
        <v>41323</v>
      </c>
      <c r="B2226" s="12">
        <f t="shared" si="34"/>
        <v>41306</v>
      </c>
      <c r="C2226">
        <v>1.9670000000000001</v>
      </c>
    </row>
    <row r="2227" spans="1:3" x14ac:dyDescent="0.35">
      <c r="A2227" s="12">
        <v>41320</v>
      </c>
      <c r="B2227" s="12">
        <f t="shared" si="34"/>
        <v>41306</v>
      </c>
      <c r="C2227">
        <v>1.9594</v>
      </c>
    </row>
    <row r="2228" spans="1:3" x14ac:dyDescent="0.35">
      <c r="A2228" s="12">
        <v>41319</v>
      </c>
      <c r="B2228" s="12">
        <f t="shared" si="34"/>
        <v>41306</v>
      </c>
      <c r="C2228">
        <v>1.966</v>
      </c>
    </row>
    <row r="2229" spans="1:3" x14ac:dyDescent="0.35">
      <c r="A2229" s="12">
        <v>41318</v>
      </c>
      <c r="B2229" s="12">
        <f t="shared" si="34"/>
        <v>41306</v>
      </c>
      <c r="C2229">
        <v>1.9664999999999999</v>
      </c>
    </row>
    <row r="2230" spans="1:3" x14ac:dyDescent="0.35">
      <c r="A2230" s="12">
        <v>41313</v>
      </c>
      <c r="B2230" s="12">
        <f t="shared" si="34"/>
        <v>41306</v>
      </c>
      <c r="C2230">
        <v>1.9630000000000001</v>
      </c>
    </row>
    <row r="2231" spans="1:3" x14ac:dyDescent="0.35">
      <c r="A2231" s="12">
        <v>41312</v>
      </c>
      <c r="B2231" s="12">
        <f t="shared" si="34"/>
        <v>41306</v>
      </c>
      <c r="C2231">
        <v>1.9782999999999999</v>
      </c>
    </row>
    <row r="2232" spans="1:3" x14ac:dyDescent="0.35">
      <c r="A2232" s="12">
        <v>41311</v>
      </c>
      <c r="B2232" s="12">
        <f t="shared" si="34"/>
        <v>41306</v>
      </c>
      <c r="C2232">
        <v>1.9878</v>
      </c>
    </row>
    <row r="2233" spans="1:3" x14ac:dyDescent="0.35">
      <c r="A2233" s="12">
        <v>41310</v>
      </c>
      <c r="B2233" s="12">
        <f t="shared" si="34"/>
        <v>41306</v>
      </c>
      <c r="C2233">
        <v>1.9875</v>
      </c>
    </row>
    <row r="2234" spans="1:3" x14ac:dyDescent="0.35">
      <c r="A2234" s="12">
        <v>41309</v>
      </c>
      <c r="B2234" s="12">
        <f t="shared" si="34"/>
        <v>41306</v>
      </c>
      <c r="C2234">
        <v>1.9887999999999999</v>
      </c>
    </row>
    <row r="2235" spans="1:3" x14ac:dyDescent="0.35">
      <c r="A2235" s="12">
        <v>41306</v>
      </c>
      <c r="B2235" s="12">
        <f t="shared" si="34"/>
        <v>41306</v>
      </c>
      <c r="C2235">
        <v>1.9838</v>
      </c>
    </row>
    <row r="2236" spans="1:3" x14ac:dyDescent="0.35">
      <c r="A2236" s="12">
        <v>41305</v>
      </c>
      <c r="B2236" s="12">
        <f t="shared" si="34"/>
        <v>41275</v>
      </c>
      <c r="C2236">
        <v>1.9877</v>
      </c>
    </row>
    <row r="2237" spans="1:3" x14ac:dyDescent="0.35">
      <c r="A2237" s="12">
        <v>41304</v>
      </c>
      <c r="B2237" s="12">
        <f t="shared" si="34"/>
        <v>41275</v>
      </c>
      <c r="C2237">
        <v>1.9894000000000001</v>
      </c>
    </row>
    <row r="2238" spans="1:3" x14ac:dyDescent="0.35">
      <c r="A2238" s="12">
        <v>41303</v>
      </c>
      <c r="B2238" s="12">
        <f t="shared" si="34"/>
        <v>41275</v>
      </c>
      <c r="C2238">
        <v>1.9905999999999999</v>
      </c>
    </row>
    <row r="2239" spans="1:3" x14ac:dyDescent="0.35">
      <c r="A2239" s="12">
        <v>41302</v>
      </c>
      <c r="B2239" s="12">
        <f t="shared" si="34"/>
        <v>41275</v>
      </c>
      <c r="C2239">
        <v>2.0234999999999999</v>
      </c>
    </row>
    <row r="2240" spans="1:3" x14ac:dyDescent="0.35">
      <c r="A2240" s="12">
        <v>41299</v>
      </c>
      <c r="B2240" s="12">
        <f t="shared" si="34"/>
        <v>41275</v>
      </c>
      <c r="C2240">
        <v>2.0276999999999998</v>
      </c>
    </row>
    <row r="2241" spans="1:3" x14ac:dyDescent="0.35">
      <c r="A2241" s="12">
        <v>41298</v>
      </c>
      <c r="B2241" s="12">
        <f t="shared" si="34"/>
        <v>41275</v>
      </c>
      <c r="C2241">
        <v>2.0337999999999998</v>
      </c>
    </row>
    <row r="2242" spans="1:3" x14ac:dyDescent="0.35">
      <c r="A2242" s="12">
        <v>41297</v>
      </c>
      <c r="B2242" s="12">
        <f t="shared" si="34"/>
        <v>41275</v>
      </c>
      <c r="C2242">
        <v>2.0388000000000002</v>
      </c>
    </row>
    <row r="2243" spans="1:3" x14ac:dyDescent="0.35">
      <c r="A2243" s="12">
        <v>41296</v>
      </c>
      <c r="B2243" s="12">
        <f t="shared" ref="B2243:B2306" si="35">DATE(YEAR(A2243),MONTH(A2243),DAY(1))</f>
        <v>41275</v>
      </c>
      <c r="C2243">
        <v>2.0466000000000002</v>
      </c>
    </row>
    <row r="2244" spans="1:3" x14ac:dyDescent="0.35">
      <c r="A2244" s="12">
        <v>41295</v>
      </c>
      <c r="B2244" s="12">
        <f t="shared" si="35"/>
        <v>41275</v>
      </c>
      <c r="C2244">
        <v>2.0415000000000001</v>
      </c>
    </row>
    <row r="2245" spans="1:3" x14ac:dyDescent="0.35">
      <c r="A2245" s="12">
        <v>41292</v>
      </c>
      <c r="B2245" s="12">
        <f t="shared" si="35"/>
        <v>41275</v>
      </c>
      <c r="C2245">
        <v>2.0434999999999999</v>
      </c>
    </row>
    <row r="2246" spans="1:3" x14ac:dyDescent="0.35">
      <c r="A2246" s="12">
        <v>41291</v>
      </c>
      <c r="B2246" s="12">
        <f t="shared" si="35"/>
        <v>41275</v>
      </c>
      <c r="C2246">
        <v>2.0405000000000002</v>
      </c>
    </row>
    <row r="2247" spans="1:3" x14ac:dyDescent="0.35">
      <c r="A2247" s="12">
        <v>41290</v>
      </c>
      <c r="B2247" s="12">
        <f t="shared" si="35"/>
        <v>41275</v>
      </c>
      <c r="C2247">
        <v>2.0402999999999998</v>
      </c>
    </row>
    <row r="2248" spans="1:3" x14ac:dyDescent="0.35">
      <c r="A2248" s="12">
        <v>41289</v>
      </c>
      <c r="B2248" s="12">
        <f t="shared" si="35"/>
        <v>41275</v>
      </c>
      <c r="C2248">
        <v>2.0367999999999999</v>
      </c>
    </row>
    <row r="2249" spans="1:3" x14ac:dyDescent="0.35">
      <c r="A2249" s="12">
        <v>41288</v>
      </c>
      <c r="B2249" s="12">
        <f t="shared" si="35"/>
        <v>41275</v>
      </c>
      <c r="C2249">
        <v>2.0327999999999999</v>
      </c>
    </row>
    <row r="2250" spans="1:3" x14ac:dyDescent="0.35">
      <c r="A2250" s="12">
        <v>41285</v>
      </c>
      <c r="B2250" s="12">
        <f t="shared" si="35"/>
        <v>41275</v>
      </c>
      <c r="C2250">
        <v>2.0335000000000001</v>
      </c>
    </row>
    <row r="2251" spans="1:3" x14ac:dyDescent="0.35">
      <c r="A2251" s="12">
        <v>41284</v>
      </c>
      <c r="B2251" s="12">
        <f t="shared" si="35"/>
        <v>41275</v>
      </c>
      <c r="C2251">
        <v>2.0352000000000001</v>
      </c>
    </row>
    <row r="2252" spans="1:3" x14ac:dyDescent="0.35">
      <c r="A2252" s="12">
        <v>41283</v>
      </c>
      <c r="B2252" s="12">
        <f t="shared" si="35"/>
        <v>41275</v>
      </c>
      <c r="C2252">
        <v>2.0411000000000001</v>
      </c>
    </row>
    <row r="2253" spans="1:3" x14ac:dyDescent="0.35">
      <c r="A2253" s="12">
        <v>41282</v>
      </c>
      <c r="B2253" s="12">
        <f t="shared" si="35"/>
        <v>41275</v>
      </c>
      <c r="C2253">
        <v>2.028</v>
      </c>
    </row>
    <row r="2254" spans="1:3" x14ac:dyDescent="0.35">
      <c r="A2254" s="12">
        <v>41281</v>
      </c>
      <c r="B2254" s="12">
        <f t="shared" si="35"/>
        <v>41275</v>
      </c>
      <c r="C2254">
        <v>2.0306000000000002</v>
      </c>
    </row>
    <row r="2255" spans="1:3" x14ac:dyDescent="0.35">
      <c r="A2255" s="12">
        <v>41278</v>
      </c>
      <c r="B2255" s="12">
        <f t="shared" si="35"/>
        <v>41275</v>
      </c>
      <c r="C2255">
        <v>2.0419</v>
      </c>
    </row>
    <row r="2256" spans="1:3" x14ac:dyDescent="0.35">
      <c r="A2256" s="12">
        <v>41277</v>
      </c>
      <c r="B2256" s="12">
        <f t="shared" si="35"/>
        <v>41275</v>
      </c>
      <c r="C2256">
        <v>2.0457999999999998</v>
      </c>
    </row>
    <row r="2257" spans="1:3" x14ac:dyDescent="0.35">
      <c r="A2257" s="12">
        <v>41276</v>
      </c>
      <c r="B2257" s="12">
        <f t="shared" si="35"/>
        <v>41275</v>
      </c>
      <c r="C2257">
        <v>2.0409000000000002</v>
      </c>
    </row>
    <row r="2258" spans="1:3" x14ac:dyDescent="0.35">
      <c r="A2258" s="12">
        <v>41274</v>
      </c>
      <c r="B2258" s="12">
        <f t="shared" si="35"/>
        <v>41244</v>
      </c>
      <c r="C2258">
        <v>2.0428999999999999</v>
      </c>
    </row>
    <row r="2259" spans="1:3" x14ac:dyDescent="0.35">
      <c r="A2259" s="12">
        <v>41271</v>
      </c>
      <c r="B2259" s="12">
        <f t="shared" si="35"/>
        <v>41244</v>
      </c>
      <c r="C2259">
        <v>2.0428999999999999</v>
      </c>
    </row>
    <row r="2260" spans="1:3" x14ac:dyDescent="0.35">
      <c r="A2260" s="12">
        <v>41270</v>
      </c>
      <c r="B2260" s="12">
        <f t="shared" si="35"/>
        <v>41244</v>
      </c>
      <c r="C2260">
        <v>2.0476999999999999</v>
      </c>
    </row>
    <row r="2261" spans="1:3" x14ac:dyDescent="0.35">
      <c r="A2261" s="12">
        <v>41269</v>
      </c>
      <c r="B2261" s="12">
        <f t="shared" si="35"/>
        <v>41244</v>
      </c>
      <c r="C2261">
        <v>2.0562999999999998</v>
      </c>
    </row>
    <row r="2262" spans="1:3" x14ac:dyDescent="0.35">
      <c r="A2262" s="12">
        <v>41267</v>
      </c>
      <c r="B2262" s="12">
        <f t="shared" si="35"/>
        <v>41244</v>
      </c>
      <c r="C2262">
        <v>2.0767000000000002</v>
      </c>
    </row>
    <row r="2263" spans="1:3" x14ac:dyDescent="0.35">
      <c r="A2263" s="12">
        <v>41264</v>
      </c>
      <c r="B2263" s="12">
        <f t="shared" si="35"/>
        <v>41244</v>
      </c>
      <c r="C2263">
        <v>2.0750999999999999</v>
      </c>
    </row>
    <row r="2264" spans="1:3" x14ac:dyDescent="0.35">
      <c r="A2264" s="12">
        <v>41263</v>
      </c>
      <c r="B2264" s="12">
        <f t="shared" si="35"/>
        <v>41244</v>
      </c>
      <c r="C2264">
        <v>2.0619999999999998</v>
      </c>
    </row>
    <row r="2265" spans="1:3" x14ac:dyDescent="0.35">
      <c r="A2265" s="12">
        <v>41262</v>
      </c>
      <c r="B2265" s="12">
        <f t="shared" si="35"/>
        <v>41244</v>
      </c>
      <c r="C2265">
        <v>2.0785</v>
      </c>
    </row>
    <row r="2266" spans="1:3" x14ac:dyDescent="0.35">
      <c r="A2266" s="12">
        <v>41261</v>
      </c>
      <c r="B2266" s="12">
        <f t="shared" si="35"/>
        <v>41244</v>
      </c>
      <c r="C2266">
        <v>2.0960000000000001</v>
      </c>
    </row>
    <row r="2267" spans="1:3" x14ac:dyDescent="0.35">
      <c r="A2267" s="12">
        <v>41260</v>
      </c>
      <c r="B2267" s="12">
        <f t="shared" si="35"/>
        <v>41244</v>
      </c>
      <c r="C2267">
        <v>2.0895999999999999</v>
      </c>
    </row>
    <row r="2268" spans="1:3" x14ac:dyDescent="0.35">
      <c r="A2268" s="12">
        <v>41257</v>
      </c>
      <c r="B2268" s="12">
        <f t="shared" si="35"/>
        <v>41244</v>
      </c>
      <c r="C2268">
        <v>2.0834000000000001</v>
      </c>
    </row>
    <row r="2269" spans="1:3" x14ac:dyDescent="0.35">
      <c r="A2269" s="12">
        <v>41256</v>
      </c>
      <c r="B2269" s="12">
        <f t="shared" si="35"/>
        <v>41244</v>
      </c>
      <c r="C2269">
        <v>2.0745</v>
      </c>
    </row>
    <row r="2270" spans="1:3" x14ac:dyDescent="0.35">
      <c r="A2270" s="12">
        <v>41255</v>
      </c>
      <c r="B2270" s="12">
        <f t="shared" si="35"/>
        <v>41244</v>
      </c>
      <c r="C2270">
        <v>2.0794999999999999</v>
      </c>
    </row>
    <row r="2271" spans="1:3" x14ac:dyDescent="0.35">
      <c r="A2271" s="12">
        <v>41254</v>
      </c>
      <c r="B2271" s="12">
        <f t="shared" si="35"/>
        <v>41244</v>
      </c>
      <c r="C2271">
        <v>2.0737000000000001</v>
      </c>
    </row>
    <row r="2272" spans="1:3" x14ac:dyDescent="0.35">
      <c r="A2272" s="12">
        <v>41253</v>
      </c>
      <c r="B2272" s="12">
        <f t="shared" si="35"/>
        <v>41244</v>
      </c>
      <c r="C2272">
        <v>2.0804</v>
      </c>
    </row>
    <row r="2273" spans="1:3" x14ac:dyDescent="0.35">
      <c r="A2273" s="12">
        <v>41250</v>
      </c>
      <c r="B2273" s="12">
        <f t="shared" si="35"/>
        <v>41244</v>
      </c>
      <c r="C2273">
        <v>2.0798000000000001</v>
      </c>
    </row>
    <row r="2274" spans="1:3" x14ac:dyDescent="0.35">
      <c r="A2274" s="12">
        <v>41249</v>
      </c>
      <c r="B2274" s="12">
        <f t="shared" si="35"/>
        <v>41244</v>
      </c>
      <c r="C2274">
        <v>2.0831</v>
      </c>
    </row>
    <row r="2275" spans="1:3" x14ac:dyDescent="0.35">
      <c r="A2275" s="12">
        <v>41248</v>
      </c>
      <c r="B2275" s="12">
        <f t="shared" si="35"/>
        <v>41244</v>
      </c>
      <c r="C2275">
        <v>2.1040000000000001</v>
      </c>
    </row>
    <row r="2276" spans="1:3" x14ac:dyDescent="0.35">
      <c r="A2276" s="12">
        <v>41247</v>
      </c>
      <c r="B2276" s="12">
        <f t="shared" si="35"/>
        <v>41244</v>
      </c>
      <c r="C2276">
        <v>2.1072000000000002</v>
      </c>
    </row>
    <row r="2277" spans="1:3" x14ac:dyDescent="0.35">
      <c r="A2277" s="12">
        <v>41246</v>
      </c>
      <c r="B2277" s="12">
        <f t="shared" si="35"/>
        <v>41244</v>
      </c>
      <c r="C2277">
        <v>2.1114999999999999</v>
      </c>
    </row>
    <row r="2278" spans="1:3" x14ac:dyDescent="0.35">
      <c r="A2278" s="12">
        <v>41243</v>
      </c>
      <c r="B2278" s="12">
        <f t="shared" si="35"/>
        <v>41214</v>
      </c>
      <c r="C2278">
        <v>2.1067999999999998</v>
      </c>
    </row>
    <row r="2279" spans="1:3" x14ac:dyDescent="0.35">
      <c r="A2279" s="12">
        <v>41242</v>
      </c>
      <c r="B2279" s="12">
        <f t="shared" si="35"/>
        <v>41214</v>
      </c>
      <c r="C2279">
        <v>2.0985999999999998</v>
      </c>
    </row>
    <row r="2280" spans="1:3" x14ac:dyDescent="0.35">
      <c r="A2280" s="12">
        <v>41241</v>
      </c>
      <c r="B2280" s="12">
        <f t="shared" si="35"/>
        <v>41214</v>
      </c>
      <c r="C2280">
        <v>2.0907</v>
      </c>
    </row>
    <row r="2281" spans="1:3" x14ac:dyDescent="0.35">
      <c r="A2281" s="12">
        <v>41240</v>
      </c>
      <c r="B2281" s="12">
        <f t="shared" si="35"/>
        <v>41214</v>
      </c>
      <c r="C2281">
        <v>2.0746000000000002</v>
      </c>
    </row>
    <row r="2282" spans="1:3" x14ac:dyDescent="0.35">
      <c r="A2282" s="12">
        <v>41239</v>
      </c>
      <c r="B2282" s="12">
        <f t="shared" si="35"/>
        <v>41214</v>
      </c>
      <c r="C2282">
        <v>2.0781999999999998</v>
      </c>
    </row>
    <row r="2283" spans="1:3" x14ac:dyDescent="0.35">
      <c r="A2283" s="12">
        <v>41236</v>
      </c>
      <c r="B2283" s="12">
        <f t="shared" si="35"/>
        <v>41214</v>
      </c>
      <c r="C2283">
        <v>2.0979999999999999</v>
      </c>
    </row>
    <row r="2284" spans="1:3" x14ac:dyDescent="0.35">
      <c r="A2284" s="12">
        <v>41235</v>
      </c>
      <c r="B2284" s="12">
        <f t="shared" si="35"/>
        <v>41214</v>
      </c>
      <c r="C2284">
        <v>2.0907</v>
      </c>
    </row>
    <row r="2285" spans="1:3" x14ac:dyDescent="0.35">
      <c r="A2285" s="12">
        <v>41234</v>
      </c>
      <c r="B2285" s="12">
        <f t="shared" si="35"/>
        <v>41214</v>
      </c>
      <c r="C2285">
        <v>2.0918000000000001</v>
      </c>
    </row>
    <row r="2286" spans="1:3" x14ac:dyDescent="0.35">
      <c r="A2286" s="12">
        <v>41233</v>
      </c>
      <c r="B2286" s="12">
        <f t="shared" si="35"/>
        <v>41214</v>
      </c>
      <c r="C2286">
        <v>2.0827</v>
      </c>
    </row>
    <row r="2287" spans="1:3" x14ac:dyDescent="0.35">
      <c r="A2287" s="12">
        <v>41232</v>
      </c>
      <c r="B2287" s="12">
        <f t="shared" si="35"/>
        <v>41214</v>
      </c>
      <c r="C2287">
        <v>2.0739999999999998</v>
      </c>
    </row>
    <row r="2288" spans="1:3" x14ac:dyDescent="0.35">
      <c r="A2288" s="12">
        <v>41229</v>
      </c>
      <c r="B2288" s="12">
        <f t="shared" si="35"/>
        <v>41214</v>
      </c>
      <c r="C2288">
        <v>2.0706000000000002</v>
      </c>
    </row>
    <row r="2289" spans="1:3" x14ac:dyDescent="0.35">
      <c r="A2289" s="12">
        <v>41227</v>
      </c>
      <c r="B2289" s="12">
        <f t="shared" si="35"/>
        <v>41214</v>
      </c>
      <c r="C2289">
        <v>2.0623999999999998</v>
      </c>
    </row>
    <row r="2290" spans="1:3" x14ac:dyDescent="0.35">
      <c r="A2290" s="12">
        <v>41226</v>
      </c>
      <c r="B2290" s="12">
        <f t="shared" si="35"/>
        <v>41214</v>
      </c>
      <c r="C2290">
        <v>2.0609000000000002</v>
      </c>
    </row>
    <row r="2291" spans="1:3" x14ac:dyDescent="0.35">
      <c r="A2291" s="12">
        <v>41225</v>
      </c>
      <c r="B2291" s="12">
        <f t="shared" si="35"/>
        <v>41214</v>
      </c>
      <c r="C2291">
        <v>2.0470000000000002</v>
      </c>
    </row>
    <row r="2292" spans="1:3" x14ac:dyDescent="0.35">
      <c r="A2292" s="12">
        <v>41222</v>
      </c>
      <c r="B2292" s="12">
        <f t="shared" si="35"/>
        <v>41214</v>
      </c>
      <c r="C2292">
        <v>2.0507</v>
      </c>
    </row>
    <row r="2293" spans="1:3" x14ac:dyDescent="0.35">
      <c r="A2293" s="12">
        <v>41221</v>
      </c>
      <c r="B2293" s="12">
        <f t="shared" si="35"/>
        <v>41214</v>
      </c>
      <c r="C2293">
        <v>2.0352000000000001</v>
      </c>
    </row>
    <row r="2294" spans="1:3" x14ac:dyDescent="0.35">
      <c r="A2294" s="12">
        <v>41220</v>
      </c>
      <c r="B2294" s="12">
        <f t="shared" si="35"/>
        <v>41214</v>
      </c>
      <c r="C2294">
        <v>2.0324</v>
      </c>
    </row>
    <row r="2295" spans="1:3" x14ac:dyDescent="0.35">
      <c r="A2295" s="12">
        <v>41219</v>
      </c>
      <c r="B2295" s="12">
        <f t="shared" si="35"/>
        <v>41214</v>
      </c>
      <c r="C2295">
        <v>2.0335999999999999</v>
      </c>
    </row>
    <row r="2296" spans="1:3" x14ac:dyDescent="0.35">
      <c r="A2296" s="12">
        <v>41218</v>
      </c>
      <c r="B2296" s="12">
        <f t="shared" si="35"/>
        <v>41214</v>
      </c>
      <c r="C2296">
        <v>2.0344000000000002</v>
      </c>
    </row>
    <row r="2297" spans="1:3" x14ac:dyDescent="0.35">
      <c r="A2297" s="12">
        <v>41214</v>
      </c>
      <c r="B2297" s="12">
        <f t="shared" si="35"/>
        <v>41214</v>
      </c>
      <c r="C2297">
        <v>2.0306000000000002</v>
      </c>
    </row>
    <row r="2298" spans="1:3" x14ac:dyDescent="0.35">
      <c r="A2298" s="12">
        <v>41213</v>
      </c>
      <c r="B2298" s="12">
        <f t="shared" si="35"/>
        <v>41183</v>
      </c>
      <c r="C2298">
        <v>2.0308000000000002</v>
      </c>
    </row>
    <row r="2299" spans="1:3" x14ac:dyDescent="0.35">
      <c r="A2299" s="12">
        <v>41212</v>
      </c>
      <c r="B2299" s="12">
        <f t="shared" si="35"/>
        <v>41183</v>
      </c>
      <c r="C2299">
        <v>2.0318000000000001</v>
      </c>
    </row>
    <row r="2300" spans="1:3" x14ac:dyDescent="0.35">
      <c r="A2300" s="12">
        <v>41211</v>
      </c>
      <c r="B2300" s="12">
        <f t="shared" si="35"/>
        <v>41183</v>
      </c>
      <c r="C2300">
        <v>2.0291000000000001</v>
      </c>
    </row>
    <row r="2301" spans="1:3" x14ac:dyDescent="0.35">
      <c r="A2301" s="12">
        <v>41208</v>
      </c>
      <c r="B2301" s="12">
        <f t="shared" si="35"/>
        <v>41183</v>
      </c>
      <c r="C2301">
        <v>2.0257000000000001</v>
      </c>
    </row>
    <row r="2302" spans="1:3" x14ac:dyDescent="0.35">
      <c r="A2302" s="12">
        <v>41207</v>
      </c>
      <c r="B2302" s="12">
        <f t="shared" si="35"/>
        <v>41183</v>
      </c>
      <c r="C2302">
        <v>2.0255999999999998</v>
      </c>
    </row>
    <row r="2303" spans="1:3" x14ac:dyDescent="0.35">
      <c r="A2303" s="12">
        <v>41206</v>
      </c>
      <c r="B2303" s="12">
        <f t="shared" si="35"/>
        <v>41183</v>
      </c>
      <c r="C2303">
        <v>2.0257000000000001</v>
      </c>
    </row>
    <row r="2304" spans="1:3" x14ac:dyDescent="0.35">
      <c r="A2304" s="12">
        <v>41205</v>
      </c>
      <c r="B2304" s="12">
        <f t="shared" si="35"/>
        <v>41183</v>
      </c>
      <c r="C2304">
        <v>2.0280999999999998</v>
      </c>
    </row>
    <row r="2305" spans="1:3" x14ac:dyDescent="0.35">
      <c r="A2305" s="12">
        <v>41204</v>
      </c>
      <c r="B2305" s="12">
        <f t="shared" si="35"/>
        <v>41183</v>
      </c>
      <c r="C2305">
        <v>2.0259999999999998</v>
      </c>
    </row>
    <row r="2306" spans="1:3" x14ac:dyDescent="0.35">
      <c r="A2306" s="12">
        <v>41201</v>
      </c>
      <c r="B2306" s="12">
        <f t="shared" si="35"/>
        <v>41183</v>
      </c>
      <c r="C2306">
        <v>2.0266000000000002</v>
      </c>
    </row>
    <row r="2307" spans="1:3" x14ac:dyDescent="0.35">
      <c r="A2307" s="12">
        <v>41200</v>
      </c>
      <c r="B2307" s="12">
        <f t="shared" ref="B2307:B2370" si="36">DATE(YEAR(A2307),MONTH(A2307),DAY(1))</f>
        <v>41183</v>
      </c>
      <c r="C2307">
        <v>2.0289999999999999</v>
      </c>
    </row>
    <row r="2308" spans="1:3" x14ac:dyDescent="0.35">
      <c r="A2308" s="12">
        <v>41199</v>
      </c>
      <c r="B2308" s="12">
        <f t="shared" si="36"/>
        <v>41183</v>
      </c>
      <c r="C2308">
        <v>2.0329999999999999</v>
      </c>
    </row>
    <row r="2309" spans="1:3" x14ac:dyDescent="0.35">
      <c r="A2309" s="12">
        <v>41198</v>
      </c>
      <c r="B2309" s="12">
        <f t="shared" si="36"/>
        <v>41183</v>
      </c>
      <c r="C2309">
        <v>2.0345</v>
      </c>
    </row>
    <row r="2310" spans="1:3" x14ac:dyDescent="0.35">
      <c r="A2310" s="12">
        <v>41197</v>
      </c>
      <c r="B2310" s="12">
        <f t="shared" si="36"/>
        <v>41183</v>
      </c>
      <c r="C2310">
        <v>2.0377000000000001</v>
      </c>
    </row>
    <row r="2311" spans="1:3" x14ac:dyDescent="0.35">
      <c r="A2311" s="12">
        <v>41193</v>
      </c>
      <c r="B2311" s="12">
        <f t="shared" si="36"/>
        <v>41183</v>
      </c>
      <c r="C2311">
        <v>2.0363000000000002</v>
      </c>
    </row>
    <row r="2312" spans="1:3" x14ac:dyDescent="0.35">
      <c r="A2312" s="12">
        <v>41192</v>
      </c>
      <c r="B2312" s="12">
        <f t="shared" si="36"/>
        <v>41183</v>
      </c>
      <c r="C2312">
        <v>2.0373000000000001</v>
      </c>
    </row>
    <row r="2313" spans="1:3" x14ac:dyDescent="0.35">
      <c r="A2313" s="12">
        <v>41191</v>
      </c>
      <c r="B2313" s="12">
        <f t="shared" si="36"/>
        <v>41183</v>
      </c>
      <c r="C2313">
        <v>2.0331000000000001</v>
      </c>
    </row>
    <row r="2314" spans="1:3" x14ac:dyDescent="0.35">
      <c r="A2314" s="12">
        <v>41190</v>
      </c>
      <c r="B2314" s="12">
        <f t="shared" si="36"/>
        <v>41183</v>
      </c>
      <c r="C2314">
        <v>2.0306999999999999</v>
      </c>
    </row>
    <row r="2315" spans="1:3" x14ac:dyDescent="0.35">
      <c r="A2315" s="12">
        <v>41187</v>
      </c>
      <c r="B2315" s="12">
        <f t="shared" si="36"/>
        <v>41183</v>
      </c>
      <c r="C2315">
        <v>2.024</v>
      </c>
    </row>
    <row r="2316" spans="1:3" x14ac:dyDescent="0.35">
      <c r="A2316" s="12">
        <v>41186</v>
      </c>
      <c r="B2316" s="12">
        <f t="shared" si="36"/>
        <v>41183</v>
      </c>
      <c r="C2316">
        <v>2.0217999999999998</v>
      </c>
    </row>
    <row r="2317" spans="1:3" x14ac:dyDescent="0.35">
      <c r="A2317" s="12">
        <v>41185</v>
      </c>
      <c r="B2317" s="12">
        <f t="shared" si="36"/>
        <v>41183</v>
      </c>
      <c r="C2317">
        <v>2.0259999999999998</v>
      </c>
    </row>
    <row r="2318" spans="1:3" x14ac:dyDescent="0.35">
      <c r="A2318" s="12">
        <v>41184</v>
      </c>
      <c r="B2318" s="12">
        <f t="shared" si="36"/>
        <v>41183</v>
      </c>
      <c r="C2318">
        <v>2.0259999999999998</v>
      </c>
    </row>
    <row r="2319" spans="1:3" x14ac:dyDescent="0.35">
      <c r="A2319" s="12">
        <v>41183</v>
      </c>
      <c r="B2319" s="12">
        <f t="shared" si="36"/>
        <v>41183</v>
      </c>
      <c r="C2319">
        <v>2.0253999999999999</v>
      </c>
    </row>
    <row r="2320" spans="1:3" x14ac:dyDescent="0.35">
      <c r="A2320" s="12">
        <v>41180</v>
      </c>
      <c r="B2320" s="12">
        <f t="shared" si="36"/>
        <v>41153</v>
      </c>
      <c r="C2320">
        <v>2.0299999999999998</v>
      </c>
    </row>
    <row r="2321" spans="1:3" x14ac:dyDescent="0.35">
      <c r="A2321" s="12">
        <v>41179</v>
      </c>
      <c r="B2321" s="12">
        <f t="shared" si="36"/>
        <v>41153</v>
      </c>
      <c r="C2321">
        <v>2.0305</v>
      </c>
    </row>
    <row r="2322" spans="1:3" x14ac:dyDescent="0.35">
      <c r="A2322" s="12">
        <v>41178</v>
      </c>
      <c r="B2322" s="12">
        <f t="shared" si="36"/>
        <v>41153</v>
      </c>
      <c r="C2322">
        <v>2.0335000000000001</v>
      </c>
    </row>
    <row r="2323" spans="1:3" x14ac:dyDescent="0.35">
      <c r="A2323" s="12">
        <v>41177</v>
      </c>
      <c r="B2323" s="12">
        <f t="shared" si="36"/>
        <v>41153</v>
      </c>
      <c r="C2323">
        <v>2.0245000000000002</v>
      </c>
    </row>
    <row r="2324" spans="1:3" x14ac:dyDescent="0.35">
      <c r="A2324" s="12">
        <v>41176</v>
      </c>
      <c r="B2324" s="12">
        <f t="shared" si="36"/>
        <v>41153</v>
      </c>
      <c r="C2324">
        <v>2.0266999999999999</v>
      </c>
    </row>
    <row r="2325" spans="1:3" x14ac:dyDescent="0.35">
      <c r="A2325" s="12">
        <v>41173</v>
      </c>
      <c r="B2325" s="12">
        <f t="shared" si="36"/>
        <v>41153</v>
      </c>
      <c r="C2325">
        <v>2.0234999999999999</v>
      </c>
    </row>
    <row r="2326" spans="1:3" x14ac:dyDescent="0.35">
      <c r="A2326" s="12">
        <v>41172</v>
      </c>
      <c r="B2326" s="12">
        <f t="shared" si="36"/>
        <v>41153</v>
      </c>
      <c r="C2326">
        <v>2.0257000000000001</v>
      </c>
    </row>
    <row r="2327" spans="1:3" x14ac:dyDescent="0.35">
      <c r="A2327" s="12">
        <v>41171</v>
      </c>
      <c r="B2327" s="12">
        <f t="shared" si="36"/>
        <v>41153</v>
      </c>
      <c r="C2327">
        <v>2.0230000000000001</v>
      </c>
    </row>
    <row r="2328" spans="1:3" x14ac:dyDescent="0.35">
      <c r="A2328" s="12">
        <v>41170</v>
      </c>
      <c r="B2328" s="12">
        <f t="shared" si="36"/>
        <v>41153</v>
      </c>
      <c r="C2328">
        <v>2.0268000000000002</v>
      </c>
    </row>
    <row r="2329" spans="1:3" x14ac:dyDescent="0.35">
      <c r="A2329" s="12">
        <v>41169</v>
      </c>
      <c r="B2329" s="12">
        <f t="shared" si="36"/>
        <v>41153</v>
      </c>
      <c r="C2329">
        <v>2.0306000000000002</v>
      </c>
    </row>
    <row r="2330" spans="1:3" x14ac:dyDescent="0.35">
      <c r="A2330" s="12">
        <v>41166</v>
      </c>
      <c r="B2330" s="12">
        <f t="shared" si="36"/>
        <v>41153</v>
      </c>
      <c r="C2330">
        <v>2.0133000000000001</v>
      </c>
    </row>
    <row r="2331" spans="1:3" x14ac:dyDescent="0.35">
      <c r="A2331" s="12">
        <v>41165</v>
      </c>
      <c r="B2331" s="12">
        <f t="shared" si="36"/>
        <v>41153</v>
      </c>
      <c r="C2331">
        <v>2.0249000000000001</v>
      </c>
    </row>
    <row r="2332" spans="1:3" x14ac:dyDescent="0.35">
      <c r="A2332" s="12">
        <v>41164</v>
      </c>
      <c r="B2332" s="12">
        <f t="shared" si="36"/>
        <v>41153</v>
      </c>
      <c r="C2332">
        <v>2.0198</v>
      </c>
    </row>
    <row r="2333" spans="1:3" x14ac:dyDescent="0.35">
      <c r="A2333" s="12">
        <v>41163</v>
      </c>
      <c r="B2333" s="12">
        <f t="shared" si="36"/>
        <v>41153</v>
      </c>
      <c r="C2333">
        <v>2.0192000000000001</v>
      </c>
    </row>
    <row r="2334" spans="1:3" x14ac:dyDescent="0.35">
      <c r="A2334" s="12">
        <v>41162</v>
      </c>
      <c r="B2334" s="12">
        <f t="shared" si="36"/>
        <v>41153</v>
      </c>
      <c r="C2334">
        <v>2.0234999999999999</v>
      </c>
    </row>
    <row r="2335" spans="1:3" x14ac:dyDescent="0.35">
      <c r="A2335" s="12">
        <v>41158</v>
      </c>
      <c r="B2335" s="12">
        <f t="shared" si="36"/>
        <v>41153</v>
      </c>
      <c r="C2335">
        <v>2.0375000000000001</v>
      </c>
    </row>
    <row r="2336" spans="1:3" x14ac:dyDescent="0.35">
      <c r="A2336" s="12">
        <v>41157</v>
      </c>
      <c r="B2336" s="12">
        <f t="shared" si="36"/>
        <v>41153</v>
      </c>
      <c r="C2336">
        <v>2.0379999999999998</v>
      </c>
    </row>
    <row r="2337" spans="1:3" x14ac:dyDescent="0.35">
      <c r="A2337" s="12">
        <v>41156</v>
      </c>
      <c r="B2337" s="12">
        <f t="shared" si="36"/>
        <v>41153</v>
      </c>
      <c r="C2337">
        <v>2.0386000000000002</v>
      </c>
    </row>
    <row r="2338" spans="1:3" x14ac:dyDescent="0.35">
      <c r="A2338" s="12">
        <v>41155</v>
      </c>
      <c r="B2338" s="12">
        <f t="shared" si="36"/>
        <v>41153</v>
      </c>
      <c r="C2338">
        <v>2.0329000000000002</v>
      </c>
    </row>
    <row r="2339" spans="1:3" x14ac:dyDescent="0.35">
      <c r="A2339" s="12">
        <v>41152</v>
      </c>
      <c r="B2339" s="12">
        <f t="shared" si="36"/>
        <v>41122</v>
      </c>
      <c r="C2339">
        <v>2.0366</v>
      </c>
    </row>
    <row r="2340" spans="1:3" x14ac:dyDescent="0.35">
      <c r="A2340" s="12">
        <v>41151</v>
      </c>
      <c r="B2340" s="12">
        <f t="shared" si="36"/>
        <v>41122</v>
      </c>
      <c r="C2340">
        <v>2.0507</v>
      </c>
    </row>
    <row r="2341" spans="1:3" x14ac:dyDescent="0.35">
      <c r="A2341" s="12">
        <v>41150</v>
      </c>
      <c r="B2341" s="12">
        <f t="shared" si="36"/>
        <v>41122</v>
      </c>
      <c r="C2341">
        <v>2.0503</v>
      </c>
    </row>
    <row r="2342" spans="1:3" x14ac:dyDescent="0.35">
      <c r="A2342" s="12">
        <v>41149</v>
      </c>
      <c r="B2342" s="12">
        <f t="shared" si="36"/>
        <v>41122</v>
      </c>
      <c r="C2342">
        <v>2.0427</v>
      </c>
    </row>
    <row r="2343" spans="1:3" x14ac:dyDescent="0.35">
      <c r="A2343" s="12">
        <v>41148</v>
      </c>
      <c r="B2343" s="12">
        <f t="shared" si="36"/>
        <v>41122</v>
      </c>
      <c r="C2343">
        <v>2.0287000000000002</v>
      </c>
    </row>
    <row r="2344" spans="1:3" x14ac:dyDescent="0.35">
      <c r="A2344" s="12">
        <v>41145</v>
      </c>
      <c r="B2344" s="12">
        <f t="shared" si="36"/>
        <v>41122</v>
      </c>
      <c r="C2344">
        <v>2.0249999999999999</v>
      </c>
    </row>
    <row r="2345" spans="1:3" x14ac:dyDescent="0.35">
      <c r="A2345" s="12">
        <v>41144</v>
      </c>
      <c r="B2345" s="12">
        <f t="shared" si="36"/>
        <v>41122</v>
      </c>
      <c r="C2345">
        <v>2.0236000000000001</v>
      </c>
    </row>
    <row r="2346" spans="1:3" x14ac:dyDescent="0.35">
      <c r="A2346" s="12">
        <v>41143</v>
      </c>
      <c r="B2346" s="12">
        <f t="shared" si="36"/>
        <v>41122</v>
      </c>
      <c r="C2346">
        <v>2.0204</v>
      </c>
    </row>
    <row r="2347" spans="1:3" x14ac:dyDescent="0.35">
      <c r="A2347" s="12">
        <v>41142</v>
      </c>
      <c r="B2347" s="12">
        <f t="shared" si="36"/>
        <v>41122</v>
      </c>
      <c r="C2347">
        <v>2.0167000000000002</v>
      </c>
    </row>
    <row r="2348" spans="1:3" x14ac:dyDescent="0.35">
      <c r="A2348" s="12">
        <v>41141</v>
      </c>
      <c r="B2348" s="12">
        <f t="shared" si="36"/>
        <v>41122</v>
      </c>
      <c r="C2348">
        <v>2.0203000000000002</v>
      </c>
    </row>
    <row r="2349" spans="1:3" x14ac:dyDescent="0.35">
      <c r="A2349" s="12">
        <v>41138</v>
      </c>
      <c r="B2349" s="12">
        <f t="shared" si="36"/>
        <v>41122</v>
      </c>
      <c r="C2349">
        <v>2.0175999999999998</v>
      </c>
    </row>
    <row r="2350" spans="1:3" x14ac:dyDescent="0.35">
      <c r="A2350" s="12">
        <v>41137</v>
      </c>
      <c r="B2350" s="12">
        <f t="shared" si="36"/>
        <v>41122</v>
      </c>
      <c r="C2350">
        <v>2.0207999999999999</v>
      </c>
    </row>
    <row r="2351" spans="1:3" x14ac:dyDescent="0.35">
      <c r="A2351" s="12">
        <v>41136</v>
      </c>
      <c r="B2351" s="12">
        <f t="shared" si="36"/>
        <v>41122</v>
      </c>
      <c r="C2351">
        <v>2.0228000000000002</v>
      </c>
    </row>
    <row r="2352" spans="1:3" x14ac:dyDescent="0.35">
      <c r="A2352" s="12">
        <v>41135</v>
      </c>
      <c r="B2352" s="12">
        <f t="shared" si="36"/>
        <v>41122</v>
      </c>
      <c r="C2352">
        <v>2.0251999999999999</v>
      </c>
    </row>
    <row r="2353" spans="1:3" x14ac:dyDescent="0.35">
      <c r="A2353" s="12">
        <v>41134</v>
      </c>
      <c r="B2353" s="12">
        <f t="shared" si="36"/>
        <v>41122</v>
      </c>
      <c r="C2353">
        <v>2.0259999999999998</v>
      </c>
    </row>
    <row r="2354" spans="1:3" x14ac:dyDescent="0.35">
      <c r="A2354" s="12">
        <v>41131</v>
      </c>
      <c r="B2354" s="12">
        <f t="shared" si="36"/>
        <v>41122</v>
      </c>
      <c r="C2354">
        <v>2.0169000000000001</v>
      </c>
    </row>
    <row r="2355" spans="1:3" x14ac:dyDescent="0.35">
      <c r="A2355" s="12">
        <v>41130</v>
      </c>
      <c r="B2355" s="12">
        <f t="shared" si="36"/>
        <v>41122</v>
      </c>
      <c r="C2355">
        <v>2.0177</v>
      </c>
    </row>
    <row r="2356" spans="1:3" x14ac:dyDescent="0.35">
      <c r="A2356" s="12">
        <v>41129</v>
      </c>
      <c r="B2356" s="12">
        <f t="shared" si="36"/>
        <v>41122</v>
      </c>
      <c r="C2356">
        <v>2.0266999999999999</v>
      </c>
    </row>
    <row r="2357" spans="1:3" x14ac:dyDescent="0.35">
      <c r="A2357" s="12">
        <v>41128</v>
      </c>
      <c r="B2357" s="12">
        <f t="shared" si="36"/>
        <v>41122</v>
      </c>
      <c r="C2357">
        <v>2.0276000000000001</v>
      </c>
    </row>
    <row r="2358" spans="1:3" x14ac:dyDescent="0.35">
      <c r="A2358" s="12">
        <v>41127</v>
      </c>
      <c r="B2358" s="12">
        <f t="shared" si="36"/>
        <v>41122</v>
      </c>
      <c r="C2358">
        <v>2.0272999999999999</v>
      </c>
    </row>
    <row r="2359" spans="1:3" x14ac:dyDescent="0.35">
      <c r="A2359" s="12">
        <v>41124</v>
      </c>
      <c r="B2359" s="12">
        <f t="shared" si="36"/>
        <v>41122</v>
      </c>
      <c r="C2359">
        <v>2.0306999999999999</v>
      </c>
    </row>
    <row r="2360" spans="1:3" x14ac:dyDescent="0.35">
      <c r="A2360" s="12">
        <v>41123</v>
      </c>
      <c r="B2360" s="12">
        <f t="shared" si="36"/>
        <v>41122</v>
      </c>
      <c r="C2360">
        <v>2.0470000000000002</v>
      </c>
    </row>
    <row r="2361" spans="1:3" x14ac:dyDescent="0.35">
      <c r="A2361" s="12">
        <v>41122</v>
      </c>
      <c r="B2361" s="12">
        <f t="shared" si="36"/>
        <v>41122</v>
      </c>
      <c r="C2361">
        <v>2.0426000000000002</v>
      </c>
    </row>
    <row r="2362" spans="1:3" x14ac:dyDescent="0.35">
      <c r="A2362" s="12">
        <v>41121</v>
      </c>
      <c r="B2362" s="12">
        <f t="shared" si="36"/>
        <v>41091</v>
      </c>
      <c r="C2362">
        <v>2.0493999999999999</v>
      </c>
    </row>
    <row r="2363" spans="1:3" x14ac:dyDescent="0.35">
      <c r="A2363" s="12">
        <v>41120</v>
      </c>
      <c r="B2363" s="12">
        <f t="shared" si="36"/>
        <v>41091</v>
      </c>
      <c r="C2363">
        <v>2.0308000000000002</v>
      </c>
    </row>
    <row r="2364" spans="1:3" x14ac:dyDescent="0.35">
      <c r="A2364" s="12">
        <v>41117</v>
      </c>
      <c r="B2364" s="12">
        <f t="shared" si="36"/>
        <v>41091</v>
      </c>
      <c r="C2364">
        <v>2.0167000000000002</v>
      </c>
    </row>
    <row r="2365" spans="1:3" x14ac:dyDescent="0.35">
      <c r="A2365" s="12">
        <v>41116</v>
      </c>
      <c r="B2365" s="12">
        <f t="shared" si="36"/>
        <v>41091</v>
      </c>
      <c r="C2365">
        <v>2.0249000000000001</v>
      </c>
    </row>
    <row r="2366" spans="1:3" x14ac:dyDescent="0.35">
      <c r="A2366" s="12">
        <v>41115</v>
      </c>
      <c r="B2366" s="12">
        <f t="shared" si="36"/>
        <v>41091</v>
      </c>
      <c r="C2366">
        <v>2.0396999999999998</v>
      </c>
    </row>
    <row r="2367" spans="1:3" x14ac:dyDescent="0.35">
      <c r="A2367" s="12">
        <v>41114</v>
      </c>
      <c r="B2367" s="12">
        <f t="shared" si="36"/>
        <v>41091</v>
      </c>
      <c r="C2367">
        <v>2.0413000000000001</v>
      </c>
    </row>
    <row r="2368" spans="1:3" x14ac:dyDescent="0.35">
      <c r="A2368" s="12">
        <v>41113</v>
      </c>
      <c r="B2368" s="12">
        <f t="shared" si="36"/>
        <v>41091</v>
      </c>
      <c r="C2368">
        <v>2.0406</v>
      </c>
    </row>
    <row r="2369" spans="1:3" x14ac:dyDescent="0.35">
      <c r="A2369" s="12">
        <v>41110</v>
      </c>
      <c r="B2369" s="12">
        <f t="shared" si="36"/>
        <v>41091</v>
      </c>
      <c r="C2369">
        <v>2.0219999999999998</v>
      </c>
    </row>
    <row r="2370" spans="1:3" x14ac:dyDescent="0.35">
      <c r="A2370" s="12">
        <v>41109</v>
      </c>
      <c r="B2370" s="12">
        <f t="shared" si="36"/>
        <v>41091</v>
      </c>
      <c r="C2370">
        <v>2.0232999999999999</v>
      </c>
    </row>
    <row r="2371" spans="1:3" x14ac:dyDescent="0.35">
      <c r="A2371" s="12">
        <v>41108</v>
      </c>
      <c r="B2371" s="12">
        <f t="shared" ref="B2371:B2434" si="37">DATE(YEAR(A2371),MONTH(A2371),DAY(1))</f>
        <v>41091</v>
      </c>
      <c r="C2371">
        <v>2.0253000000000001</v>
      </c>
    </row>
    <row r="2372" spans="1:3" x14ac:dyDescent="0.35">
      <c r="A2372" s="12">
        <v>41107</v>
      </c>
      <c r="B2372" s="12">
        <f t="shared" si="37"/>
        <v>41091</v>
      </c>
      <c r="C2372">
        <v>2.0343</v>
      </c>
    </row>
    <row r="2373" spans="1:3" x14ac:dyDescent="0.35">
      <c r="A2373" s="12">
        <v>41106</v>
      </c>
      <c r="B2373" s="12">
        <f t="shared" si="37"/>
        <v>41091</v>
      </c>
      <c r="C2373">
        <v>2.0375000000000001</v>
      </c>
    </row>
    <row r="2374" spans="1:3" x14ac:dyDescent="0.35">
      <c r="A2374" s="12">
        <v>41103</v>
      </c>
      <c r="B2374" s="12">
        <f t="shared" si="37"/>
        <v>41091</v>
      </c>
      <c r="C2374">
        <v>2.0331999999999999</v>
      </c>
    </row>
    <row r="2375" spans="1:3" x14ac:dyDescent="0.35">
      <c r="A2375" s="12">
        <v>41102</v>
      </c>
      <c r="B2375" s="12">
        <f t="shared" si="37"/>
        <v>41091</v>
      </c>
      <c r="C2375">
        <v>2.0465</v>
      </c>
    </row>
    <row r="2376" spans="1:3" x14ac:dyDescent="0.35">
      <c r="A2376" s="12">
        <v>41101</v>
      </c>
      <c r="B2376" s="12">
        <f t="shared" si="37"/>
        <v>41091</v>
      </c>
      <c r="C2376">
        <v>2.0304000000000002</v>
      </c>
    </row>
    <row r="2377" spans="1:3" x14ac:dyDescent="0.35">
      <c r="A2377" s="12">
        <v>41100</v>
      </c>
      <c r="B2377" s="12">
        <f t="shared" si="37"/>
        <v>41091</v>
      </c>
      <c r="C2377">
        <v>2.0327000000000002</v>
      </c>
    </row>
    <row r="2378" spans="1:3" x14ac:dyDescent="0.35">
      <c r="A2378" s="12">
        <v>41099</v>
      </c>
      <c r="B2378" s="12">
        <f t="shared" si="37"/>
        <v>41091</v>
      </c>
      <c r="C2378">
        <v>2.0303</v>
      </c>
    </row>
    <row r="2379" spans="1:3" x14ac:dyDescent="0.35">
      <c r="A2379" s="12">
        <v>41096</v>
      </c>
      <c r="B2379" s="12">
        <f t="shared" si="37"/>
        <v>41091</v>
      </c>
      <c r="C2379">
        <v>2.0287000000000002</v>
      </c>
    </row>
    <row r="2380" spans="1:3" x14ac:dyDescent="0.35">
      <c r="A2380" s="12">
        <v>41095</v>
      </c>
      <c r="B2380" s="12">
        <f t="shared" si="37"/>
        <v>41091</v>
      </c>
      <c r="C2380">
        <v>2.0287000000000002</v>
      </c>
    </row>
    <row r="2381" spans="1:3" x14ac:dyDescent="0.35">
      <c r="A2381" s="12">
        <v>41094</v>
      </c>
      <c r="B2381" s="12">
        <f t="shared" si="37"/>
        <v>41091</v>
      </c>
      <c r="C2381">
        <v>2.0194999999999999</v>
      </c>
    </row>
    <row r="2382" spans="1:3" x14ac:dyDescent="0.35">
      <c r="A2382" s="12">
        <v>41093</v>
      </c>
      <c r="B2382" s="12">
        <f t="shared" si="37"/>
        <v>41091</v>
      </c>
      <c r="C2382">
        <v>1.9882</v>
      </c>
    </row>
    <row r="2383" spans="1:3" x14ac:dyDescent="0.35">
      <c r="A2383" s="12">
        <v>41092</v>
      </c>
      <c r="B2383" s="12">
        <f t="shared" si="37"/>
        <v>41091</v>
      </c>
      <c r="C2383">
        <v>1.9886999999999999</v>
      </c>
    </row>
    <row r="2384" spans="1:3" x14ac:dyDescent="0.35">
      <c r="A2384" s="12">
        <v>41089</v>
      </c>
      <c r="B2384" s="12">
        <f t="shared" si="37"/>
        <v>41061</v>
      </c>
      <c r="C2384">
        <v>2.0207000000000002</v>
      </c>
    </row>
    <row r="2385" spans="1:3" x14ac:dyDescent="0.35">
      <c r="A2385" s="12">
        <v>41088</v>
      </c>
      <c r="B2385" s="12">
        <f t="shared" si="37"/>
        <v>41061</v>
      </c>
      <c r="C2385">
        <v>2.0897000000000001</v>
      </c>
    </row>
    <row r="2386" spans="1:3" x14ac:dyDescent="0.35">
      <c r="A2386" s="12">
        <v>41087</v>
      </c>
      <c r="B2386" s="12">
        <f t="shared" si="37"/>
        <v>41061</v>
      </c>
      <c r="C2386">
        <v>2.0758000000000001</v>
      </c>
    </row>
    <row r="2387" spans="1:3" x14ac:dyDescent="0.35">
      <c r="A2387" s="12">
        <v>41086</v>
      </c>
      <c r="B2387" s="12">
        <f t="shared" si="37"/>
        <v>41061</v>
      </c>
      <c r="C2387">
        <v>2.0737000000000001</v>
      </c>
    </row>
    <row r="2388" spans="1:3" x14ac:dyDescent="0.35">
      <c r="A2388" s="12">
        <v>41085</v>
      </c>
      <c r="B2388" s="12">
        <f t="shared" si="37"/>
        <v>41061</v>
      </c>
      <c r="C2388">
        <v>2.0712000000000002</v>
      </c>
    </row>
    <row r="2389" spans="1:3" x14ac:dyDescent="0.35">
      <c r="A2389" s="12">
        <v>41082</v>
      </c>
      <c r="B2389" s="12">
        <f t="shared" si="37"/>
        <v>41061</v>
      </c>
      <c r="C2389">
        <v>2.0548999999999999</v>
      </c>
    </row>
    <row r="2390" spans="1:3" x14ac:dyDescent="0.35">
      <c r="A2390" s="12">
        <v>41081</v>
      </c>
      <c r="B2390" s="12">
        <f t="shared" si="37"/>
        <v>41061</v>
      </c>
      <c r="C2390">
        <v>2.0356999999999998</v>
      </c>
    </row>
    <row r="2391" spans="1:3" x14ac:dyDescent="0.35">
      <c r="A2391" s="12">
        <v>41080</v>
      </c>
      <c r="B2391" s="12">
        <f t="shared" si="37"/>
        <v>41061</v>
      </c>
      <c r="C2391">
        <v>2.0287000000000002</v>
      </c>
    </row>
    <row r="2392" spans="1:3" x14ac:dyDescent="0.35">
      <c r="A2392" s="12">
        <v>41079</v>
      </c>
      <c r="B2392" s="12">
        <f t="shared" si="37"/>
        <v>41061</v>
      </c>
      <c r="C2392">
        <v>2.0432999999999999</v>
      </c>
    </row>
    <row r="2393" spans="1:3" x14ac:dyDescent="0.35">
      <c r="A2393" s="12">
        <v>41078</v>
      </c>
      <c r="B2393" s="12">
        <f t="shared" si="37"/>
        <v>41061</v>
      </c>
      <c r="C2393">
        <v>2.0628000000000002</v>
      </c>
    </row>
    <row r="2394" spans="1:3" x14ac:dyDescent="0.35">
      <c r="A2394" s="12">
        <v>41075</v>
      </c>
      <c r="B2394" s="12">
        <f t="shared" si="37"/>
        <v>41061</v>
      </c>
      <c r="C2394">
        <v>2.0436999999999999</v>
      </c>
    </row>
    <row r="2395" spans="1:3" x14ac:dyDescent="0.35">
      <c r="A2395" s="12">
        <v>41074</v>
      </c>
      <c r="B2395" s="12">
        <f t="shared" si="37"/>
        <v>41061</v>
      </c>
      <c r="C2395">
        <v>2.0684999999999998</v>
      </c>
    </row>
    <row r="2396" spans="1:3" x14ac:dyDescent="0.35">
      <c r="A2396" s="12">
        <v>41073</v>
      </c>
      <c r="B2396" s="12">
        <f t="shared" si="37"/>
        <v>41061</v>
      </c>
      <c r="C2396">
        <v>2.0596999999999999</v>
      </c>
    </row>
    <row r="2397" spans="1:3" x14ac:dyDescent="0.35">
      <c r="A2397" s="12">
        <v>41072</v>
      </c>
      <c r="B2397" s="12">
        <f t="shared" si="37"/>
        <v>41061</v>
      </c>
      <c r="C2397">
        <v>2.0558000000000001</v>
      </c>
    </row>
    <row r="2398" spans="1:3" x14ac:dyDescent="0.35">
      <c r="A2398" s="12">
        <v>41071</v>
      </c>
      <c r="B2398" s="12">
        <f t="shared" si="37"/>
        <v>41061</v>
      </c>
      <c r="C2398">
        <v>2.0341999999999998</v>
      </c>
    </row>
    <row r="2399" spans="1:3" x14ac:dyDescent="0.35">
      <c r="A2399" s="12">
        <v>41068</v>
      </c>
      <c r="B2399" s="12">
        <f t="shared" si="37"/>
        <v>41061</v>
      </c>
      <c r="C2399">
        <v>2.0347</v>
      </c>
    </row>
    <row r="2400" spans="1:3" x14ac:dyDescent="0.35">
      <c r="A2400" s="12">
        <v>41066</v>
      </c>
      <c r="B2400" s="12">
        <f t="shared" si="37"/>
        <v>41061</v>
      </c>
      <c r="C2400">
        <v>2.0175999999999998</v>
      </c>
    </row>
    <row r="2401" spans="1:3" x14ac:dyDescent="0.35">
      <c r="A2401" s="12">
        <v>41065</v>
      </c>
      <c r="B2401" s="12">
        <f t="shared" si="37"/>
        <v>41061</v>
      </c>
      <c r="C2401">
        <v>2.0259</v>
      </c>
    </row>
    <row r="2402" spans="1:3" x14ac:dyDescent="0.35">
      <c r="A2402" s="12">
        <v>41064</v>
      </c>
      <c r="B2402" s="12">
        <f t="shared" si="37"/>
        <v>41061</v>
      </c>
      <c r="C2402">
        <v>2.0404</v>
      </c>
    </row>
    <row r="2403" spans="1:3" x14ac:dyDescent="0.35">
      <c r="A2403" s="12">
        <v>41061</v>
      </c>
      <c r="B2403" s="12">
        <f t="shared" si="37"/>
        <v>41061</v>
      </c>
      <c r="C2403">
        <v>2.0344000000000002</v>
      </c>
    </row>
    <row r="2404" spans="1:3" x14ac:dyDescent="0.35">
      <c r="A2404" s="12">
        <v>41060</v>
      </c>
      <c r="B2404" s="12">
        <f t="shared" si="37"/>
        <v>41030</v>
      </c>
      <c r="C2404">
        <v>2.0217000000000001</v>
      </c>
    </row>
    <row r="2405" spans="1:3" x14ac:dyDescent="0.35">
      <c r="A2405" s="12">
        <v>41059</v>
      </c>
      <c r="B2405" s="12">
        <f t="shared" si="37"/>
        <v>41030</v>
      </c>
      <c r="C2405">
        <v>2.0072000000000001</v>
      </c>
    </row>
    <row r="2406" spans="1:3" x14ac:dyDescent="0.35">
      <c r="A2406" s="12">
        <v>41058</v>
      </c>
      <c r="B2406" s="12">
        <f t="shared" si="37"/>
        <v>41030</v>
      </c>
      <c r="C2406">
        <v>1.9938</v>
      </c>
    </row>
    <row r="2407" spans="1:3" x14ac:dyDescent="0.35">
      <c r="A2407" s="12">
        <v>41057</v>
      </c>
      <c r="B2407" s="12">
        <f t="shared" si="37"/>
        <v>41030</v>
      </c>
      <c r="C2407">
        <v>1.9772000000000001</v>
      </c>
    </row>
    <row r="2408" spans="1:3" x14ac:dyDescent="0.35">
      <c r="A2408" s="12">
        <v>41054</v>
      </c>
      <c r="B2408" s="12">
        <f t="shared" si="37"/>
        <v>41030</v>
      </c>
      <c r="C2408">
        <v>2.0026000000000002</v>
      </c>
    </row>
    <row r="2409" spans="1:3" x14ac:dyDescent="0.35">
      <c r="A2409" s="12">
        <v>41053</v>
      </c>
      <c r="B2409" s="12">
        <f t="shared" si="37"/>
        <v>41030</v>
      </c>
      <c r="C2409">
        <v>2.0377999999999998</v>
      </c>
    </row>
    <row r="2410" spans="1:3" x14ac:dyDescent="0.35">
      <c r="A2410" s="12">
        <v>41052</v>
      </c>
      <c r="B2410" s="12">
        <f t="shared" si="37"/>
        <v>41030</v>
      </c>
      <c r="C2410">
        <v>2.0809000000000002</v>
      </c>
    </row>
    <row r="2411" spans="1:3" x14ac:dyDescent="0.35">
      <c r="A2411" s="12">
        <v>41051</v>
      </c>
      <c r="B2411" s="12">
        <f t="shared" si="37"/>
        <v>41030</v>
      </c>
      <c r="C2411">
        <v>2.0487000000000002</v>
      </c>
    </row>
    <row r="2412" spans="1:3" x14ac:dyDescent="0.35">
      <c r="A2412" s="12">
        <v>41050</v>
      </c>
      <c r="B2412" s="12">
        <f t="shared" si="37"/>
        <v>41030</v>
      </c>
      <c r="C2412">
        <v>2.0367999999999999</v>
      </c>
    </row>
    <row r="2413" spans="1:3" x14ac:dyDescent="0.35">
      <c r="A2413" s="12">
        <v>41047</v>
      </c>
      <c r="B2413" s="12">
        <f t="shared" si="37"/>
        <v>41030</v>
      </c>
      <c r="C2413">
        <v>2.0087999999999999</v>
      </c>
    </row>
    <row r="2414" spans="1:3" x14ac:dyDescent="0.35">
      <c r="A2414" s="12">
        <v>41046</v>
      </c>
      <c r="B2414" s="12">
        <f t="shared" si="37"/>
        <v>41030</v>
      </c>
      <c r="C2414">
        <v>1.9966999999999999</v>
      </c>
    </row>
    <row r="2415" spans="1:3" x14ac:dyDescent="0.35">
      <c r="A2415" s="12">
        <v>41045</v>
      </c>
      <c r="B2415" s="12">
        <f t="shared" si="37"/>
        <v>41030</v>
      </c>
      <c r="C2415">
        <v>1.9967999999999999</v>
      </c>
    </row>
    <row r="2416" spans="1:3" x14ac:dyDescent="0.35">
      <c r="A2416" s="12">
        <v>41044</v>
      </c>
      <c r="B2416" s="12">
        <f t="shared" si="37"/>
        <v>41030</v>
      </c>
      <c r="C2416">
        <v>1.9941</v>
      </c>
    </row>
    <row r="2417" spans="1:3" x14ac:dyDescent="0.35">
      <c r="A2417" s="12">
        <v>41043</v>
      </c>
      <c r="B2417" s="12">
        <f t="shared" si="37"/>
        <v>41030</v>
      </c>
      <c r="C2417">
        <v>1.986</v>
      </c>
    </row>
    <row r="2418" spans="1:3" x14ac:dyDescent="0.35">
      <c r="A2418" s="12">
        <v>41040</v>
      </c>
      <c r="B2418" s="12">
        <f t="shared" si="37"/>
        <v>41030</v>
      </c>
      <c r="C2418">
        <v>1.9507000000000001</v>
      </c>
    </row>
    <row r="2419" spans="1:3" x14ac:dyDescent="0.35">
      <c r="A2419" s="12">
        <v>41039</v>
      </c>
      <c r="B2419" s="12">
        <f t="shared" si="37"/>
        <v>41030</v>
      </c>
      <c r="C2419">
        <v>1.9576</v>
      </c>
    </row>
    <row r="2420" spans="1:3" x14ac:dyDescent="0.35">
      <c r="A2420" s="12">
        <v>41038</v>
      </c>
      <c r="B2420" s="12">
        <f t="shared" si="37"/>
        <v>41030</v>
      </c>
      <c r="C2420">
        <v>1.9571000000000001</v>
      </c>
    </row>
    <row r="2421" spans="1:3" x14ac:dyDescent="0.35">
      <c r="A2421" s="12">
        <v>41037</v>
      </c>
      <c r="B2421" s="12">
        <f t="shared" si="37"/>
        <v>41030</v>
      </c>
      <c r="C2421">
        <v>1.9359999999999999</v>
      </c>
    </row>
    <row r="2422" spans="1:3" x14ac:dyDescent="0.35">
      <c r="A2422" s="12">
        <v>41036</v>
      </c>
      <c r="B2422" s="12">
        <f t="shared" si="37"/>
        <v>41030</v>
      </c>
      <c r="C2422">
        <v>1.9261999999999999</v>
      </c>
    </row>
    <row r="2423" spans="1:3" x14ac:dyDescent="0.35">
      <c r="A2423" s="12">
        <v>41033</v>
      </c>
      <c r="B2423" s="12">
        <f t="shared" si="37"/>
        <v>41030</v>
      </c>
      <c r="C2423">
        <v>1.9204000000000001</v>
      </c>
    </row>
    <row r="2424" spans="1:3" x14ac:dyDescent="0.35">
      <c r="A2424" s="12">
        <v>41032</v>
      </c>
      <c r="B2424" s="12">
        <f t="shared" si="37"/>
        <v>41030</v>
      </c>
      <c r="C2424">
        <v>1.9271</v>
      </c>
    </row>
    <row r="2425" spans="1:3" x14ac:dyDescent="0.35">
      <c r="A2425" s="12">
        <v>41031</v>
      </c>
      <c r="B2425" s="12">
        <f t="shared" si="37"/>
        <v>41030</v>
      </c>
      <c r="C2425">
        <v>1.9142999999999999</v>
      </c>
    </row>
    <row r="2426" spans="1:3" x14ac:dyDescent="0.35">
      <c r="A2426" s="12">
        <v>41029</v>
      </c>
      <c r="B2426" s="12">
        <f t="shared" si="37"/>
        <v>41000</v>
      </c>
      <c r="C2426">
        <v>1.8912</v>
      </c>
    </row>
    <row r="2427" spans="1:3" x14ac:dyDescent="0.35">
      <c r="A2427" s="12">
        <v>41026</v>
      </c>
      <c r="B2427" s="12">
        <f t="shared" si="37"/>
        <v>41000</v>
      </c>
      <c r="C2427">
        <v>1.8846000000000001</v>
      </c>
    </row>
    <row r="2428" spans="1:3" x14ac:dyDescent="0.35">
      <c r="A2428" s="12">
        <v>41025</v>
      </c>
      <c r="B2428" s="12">
        <f t="shared" si="37"/>
        <v>41000</v>
      </c>
      <c r="C2428">
        <v>1.8864000000000001</v>
      </c>
    </row>
    <row r="2429" spans="1:3" x14ac:dyDescent="0.35">
      <c r="A2429" s="12">
        <v>41024</v>
      </c>
      <c r="B2429" s="12">
        <f t="shared" si="37"/>
        <v>41000</v>
      </c>
      <c r="C2429">
        <v>1.8801000000000001</v>
      </c>
    </row>
    <row r="2430" spans="1:3" x14ac:dyDescent="0.35">
      <c r="A2430" s="12">
        <v>41023</v>
      </c>
      <c r="B2430" s="12">
        <f t="shared" si="37"/>
        <v>41000</v>
      </c>
      <c r="C2430">
        <v>1.8774</v>
      </c>
    </row>
    <row r="2431" spans="1:3" x14ac:dyDescent="0.35">
      <c r="A2431" s="12">
        <v>41022</v>
      </c>
      <c r="B2431" s="12">
        <f t="shared" si="37"/>
        <v>41000</v>
      </c>
      <c r="C2431">
        <v>1.8857999999999999</v>
      </c>
    </row>
    <row r="2432" spans="1:3" x14ac:dyDescent="0.35">
      <c r="A2432" s="12">
        <v>41019</v>
      </c>
      <c r="B2432" s="12">
        <f t="shared" si="37"/>
        <v>41000</v>
      </c>
      <c r="C2432">
        <v>1.8779999999999999</v>
      </c>
    </row>
    <row r="2433" spans="1:3" x14ac:dyDescent="0.35">
      <c r="A2433" s="12">
        <v>41018</v>
      </c>
      <c r="B2433" s="12">
        <f t="shared" si="37"/>
        <v>41000</v>
      </c>
      <c r="C2433">
        <v>1.8861000000000001</v>
      </c>
    </row>
    <row r="2434" spans="1:3" x14ac:dyDescent="0.35">
      <c r="A2434" s="12">
        <v>41017</v>
      </c>
      <c r="B2434" s="12">
        <f t="shared" si="37"/>
        <v>41000</v>
      </c>
      <c r="C2434">
        <v>1.8688</v>
      </c>
    </row>
    <row r="2435" spans="1:3" x14ac:dyDescent="0.35">
      <c r="A2435" s="12">
        <v>41016</v>
      </c>
      <c r="B2435" s="12">
        <f t="shared" ref="B2435:B2498" si="38">DATE(YEAR(A2435),MONTH(A2435),DAY(1))</f>
        <v>41000</v>
      </c>
      <c r="C2435">
        <v>1.8447</v>
      </c>
    </row>
    <row r="2436" spans="1:3" x14ac:dyDescent="0.35">
      <c r="A2436" s="12">
        <v>41015</v>
      </c>
      <c r="B2436" s="12">
        <f t="shared" si="38"/>
        <v>41000</v>
      </c>
      <c r="C2436">
        <v>1.8367</v>
      </c>
    </row>
    <row r="2437" spans="1:3" x14ac:dyDescent="0.35">
      <c r="A2437" s="12">
        <v>41012</v>
      </c>
      <c r="B2437" s="12">
        <f t="shared" si="38"/>
        <v>41000</v>
      </c>
      <c r="C2437">
        <v>1.8358000000000001</v>
      </c>
    </row>
    <row r="2438" spans="1:3" x14ac:dyDescent="0.35">
      <c r="A2438" s="12">
        <v>41011</v>
      </c>
      <c r="B2438" s="12">
        <f t="shared" si="38"/>
        <v>41000</v>
      </c>
      <c r="C2438">
        <v>1.8264</v>
      </c>
    </row>
    <row r="2439" spans="1:3" x14ac:dyDescent="0.35">
      <c r="A2439" s="12">
        <v>41010</v>
      </c>
      <c r="B2439" s="12">
        <f t="shared" si="38"/>
        <v>41000</v>
      </c>
      <c r="C2439">
        <v>1.8297000000000001</v>
      </c>
    </row>
    <row r="2440" spans="1:3" x14ac:dyDescent="0.35">
      <c r="A2440" s="12">
        <v>41009</v>
      </c>
      <c r="B2440" s="12">
        <f t="shared" si="38"/>
        <v>41000</v>
      </c>
      <c r="C2440">
        <v>1.8310999999999999</v>
      </c>
    </row>
    <row r="2441" spans="1:3" x14ac:dyDescent="0.35">
      <c r="A2441" s="12">
        <v>41008</v>
      </c>
      <c r="B2441" s="12">
        <f t="shared" si="38"/>
        <v>41000</v>
      </c>
      <c r="C2441">
        <v>1.8253999999999999</v>
      </c>
    </row>
    <row r="2442" spans="1:3" x14ac:dyDescent="0.35">
      <c r="A2442" s="12">
        <v>41004</v>
      </c>
      <c r="B2442" s="12">
        <f t="shared" si="38"/>
        <v>41000</v>
      </c>
      <c r="C2442">
        <v>1.8294999999999999</v>
      </c>
    </row>
    <row r="2443" spans="1:3" x14ac:dyDescent="0.35">
      <c r="A2443" s="12">
        <v>41003</v>
      </c>
      <c r="B2443" s="12">
        <f t="shared" si="38"/>
        <v>41000</v>
      </c>
      <c r="C2443">
        <v>1.831</v>
      </c>
    </row>
    <row r="2444" spans="1:3" x14ac:dyDescent="0.35">
      <c r="A2444" s="12">
        <v>41002</v>
      </c>
      <c r="B2444" s="12">
        <f t="shared" si="38"/>
        <v>41000</v>
      </c>
      <c r="C2444">
        <v>1.825</v>
      </c>
    </row>
    <row r="2445" spans="1:3" x14ac:dyDescent="0.35">
      <c r="A2445" s="12">
        <v>41001</v>
      </c>
      <c r="B2445" s="12">
        <f t="shared" si="38"/>
        <v>41000</v>
      </c>
      <c r="C2445">
        <v>1.8308</v>
      </c>
    </row>
    <row r="2446" spans="1:3" x14ac:dyDescent="0.35">
      <c r="A2446" s="12">
        <v>40998</v>
      </c>
      <c r="B2446" s="12">
        <f t="shared" si="38"/>
        <v>40969</v>
      </c>
      <c r="C2446">
        <v>1.8214999999999999</v>
      </c>
    </row>
    <row r="2447" spans="1:3" x14ac:dyDescent="0.35">
      <c r="A2447" s="12">
        <v>40997</v>
      </c>
      <c r="B2447" s="12">
        <f t="shared" si="38"/>
        <v>40969</v>
      </c>
      <c r="C2447">
        <v>1.8327</v>
      </c>
    </row>
    <row r="2448" spans="1:3" x14ac:dyDescent="0.35">
      <c r="A2448" s="12">
        <v>40996</v>
      </c>
      <c r="B2448" s="12">
        <f t="shared" si="38"/>
        <v>40969</v>
      </c>
      <c r="C2448">
        <v>1.8217000000000001</v>
      </c>
    </row>
    <row r="2449" spans="1:3" x14ac:dyDescent="0.35">
      <c r="A2449" s="12">
        <v>40995</v>
      </c>
      <c r="B2449" s="12">
        <f t="shared" si="38"/>
        <v>40969</v>
      </c>
      <c r="C2449">
        <v>1.8129</v>
      </c>
    </row>
    <row r="2450" spans="1:3" x14ac:dyDescent="0.35">
      <c r="A2450" s="12">
        <v>40994</v>
      </c>
      <c r="B2450" s="12">
        <f t="shared" si="38"/>
        <v>40969</v>
      </c>
      <c r="C2450">
        <v>1.8137000000000001</v>
      </c>
    </row>
    <row r="2451" spans="1:3" x14ac:dyDescent="0.35">
      <c r="A2451" s="12">
        <v>40991</v>
      </c>
      <c r="B2451" s="12">
        <f t="shared" si="38"/>
        <v>40969</v>
      </c>
      <c r="C2451">
        <v>1.8188</v>
      </c>
    </row>
    <row r="2452" spans="1:3" x14ac:dyDescent="0.35">
      <c r="A2452" s="12">
        <v>40990</v>
      </c>
      <c r="B2452" s="12">
        <f t="shared" si="38"/>
        <v>40969</v>
      </c>
      <c r="C2452">
        <v>1.8244</v>
      </c>
    </row>
    <row r="2453" spans="1:3" x14ac:dyDescent="0.35">
      <c r="A2453" s="12">
        <v>40989</v>
      </c>
      <c r="B2453" s="12">
        <f t="shared" si="38"/>
        <v>40969</v>
      </c>
      <c r="C2453">
        <v>1.8261000000000001</v>
      </c>
    </row>
    <row r="2454" spans="1:3" x14ac:dyDescent="0.35">
      <c r="A2454" s="12">
        <v>40988</v>
      </c>
      <c r="B2454" s="12">
        <f t="shared" si="38"/>
        <v>40969</v>
      </c>
      <c r="C2454">
        <v>1.8252999999999999</v>
      </c>
    </row>
    <row r="2455" spans="1:3" x14ac:dyDescent="0.35">
      <c r="A2455" s="12">
        <v>40987</v>
      </c>
      <c r="B2455" s="12">
        <f t="shared" si="38"/>
        <v>40969</v>
      </c>
      <c r="C2455">
        <v>1.8084</v>
      </c>
    </row>
    <row r="2456" spans="1:3" x14ac:dyDescent="0.35">
      <c r="A2456" s="12">
        <v>40984</v>
      </c>
      <c r="B2456" s="12">
        <f t="shared" si="38"/>
        <v>40969</v>
      </c>
      <c r="C2456">
        <v>1.8011999999999999</v>
      </c>
    </row>
    <row r="2457" spans="1:3" x14ac:dyDescent="0.35">
      <c r="A2457" s="12">
        <v>40983</v>
      </c>
      <c r="B2457" s="12">
        <f t="shared" si="38"/>
        <v>40969</v>
      </c>
      <c r="C2457">
        <v>1.8</v>
      </c>
    </row>
    <row r="2458" spans="1:3" x14ac:dyDescent="0.35">
      <c r="A2458" s="12">
        <v>40982</v>
      </c>
      <c r="B2458" s="12">
        <f t="shared" si="38"/>
        <v>40969</v>
      </c>
      <c r="C2458">
        <v>1.8140000000000001</v>
      </c>
    </row>
    <row r="2459" spans="1:3" x14ac:dyDescent="0.35">
      <c r="A2459" s="12">
        <v>40981</v>
      </c>
      <c r="B2459" s="12">
        <f t="shared" si="38"/>
        <v>40969</v>
      </c>
      <c r="C2459">
        <v>1.8096000000000001</v>
      </c>
    </row>
    <row r="2460" spans="1:3" x14ac:dyDescent="0.35">
      <c r="A2460" s="12">
        <v>40980</v>
      </c>
      <c r="B2460" s="12">
        <f t="shared" si="38"/>
        <v>40969</v>
      </c>
      <c r="C2460">
        <v>1.8150999999999999</v>
      </c>
    </row>
    <row r="2461" spans="1:3" x14ac:dyDescent="0.35">
      <c r="A2461" s="12">
        <v>40977</v>
      </c>
      <c r="B2461" s="12">
        <f t="shared" si="38"/>
        <v>40969</v>
      </c>
      <c r="C2461">
        <v>1.7761</v>
      </c>
    </row>
    <row r="2462" spans="1:3" x14ac:dyDescent="0.35">
      <c r="A2462" s="12">
        <v>40976</v>
      </c>
      <c r="B2462" s="12">
        <f t="shared" si="38"/>
        <v>40969</v>
      </c>
      <c r="C2462">
        <v>1.7690999999999999</v>
      </c>
    </row>
    <row r="2463" spans="1:3" x14ac:dyDescent="0.35">
      <c r="A2463" s="12">
        <v>40975</v>
      </c>
      <c r="B2463" s="12">
        <f t="shared" si="38"/>
        <v>40969</v>
      </c>
      <c r="C2463">
        <v>1.7685</v>
      </c>
    </row>
    <row r="2464" spans="1:3" x14ac:dyDescent="0.35">
      <c r="A2464" s="12">
        <v>40974</v>
      </c>
      <c r="B2464" s="12">
        <f t="shared" si="38"/>
        <v>40969</v>
      </c>
      <c r="C2464">
        <v>1.7549999999999999</v>
      </c>
    </row>
    <row r="2465" spans="1:3" x14ac:dyDescent="0.35">
      <c r="A2465" s="12">
        <v>40973</v>
      </c>
      <c r="B2465" s="12">
        <f t="shared" si="38"/>
        <v>40969</v>
      </c>
      <c r="C2465">
        <v>1.7307999999999999</v>
      </c>
    </row>
    <row r="2466" spans="1:3" x14ac:dyDescent="0.35">
      <c r="A2466" s="12">
        <v>40970</v>
      </c>
      <c r="B2466" s="12">
        <f t="shared" si="38"/>
        <v>40969</v>
      </c>
      <c r="C2466">
        <v>1.7239</v>
      </c>
    </row>
    <row r="2467" spans="1:3" x14ac:dyDescent="0.35">
      <c r="A2467" s="12">
        <v>40969</v>
      </c>
      <c r="B2467" s="12">
        <f t="shared" si="38"/>
        <v>40969</v>
      </c>
      <c r="C2467">
        <v>1.7145999999999999</v>
      </c>
    </row>
    <row r="2468" spans="1:3" x14ac:dyDescent="0.35">
      <c r="A2468" s="12">
        <v>40968</v>
      </c>
      <c r="B2468" s="12">
        <f t="shared" si="38"/>
        <v>40940</v>
      </c>
      <c r="C2468">
        <v>1.7085999999999999</v>
      </c>
    </row>
    <row r="2469" spans="1:3" x14ac:dyDescent="0.35">
      <c r="A2469" s="12">
        <v>40967</v>
      </c>
      <c r="B2469" s="12">
        <f t="shared" si="38"/>
        <v>40940</v>
      </c>
      <c r="C2469">
        <v>1.7017</v>
      </c>
    </row>
    <row r="2470" spans="1:3" x14ac:dyDescent="0.35">
      <c r="A2470" s="12">
        <v>40966</v>
      </c>
      <c r="B2470" s="12">
        <f t="shared" si="38"/>
        <v>40940</v>
      </c>
      <c r="C2470">
        <v>1.7081999999999999</v>
      </c>
    </row>
    <row r="2471" spans="1:3" x14ac:dyDescent="0.35">
      <c r="A2471" s="12">
        <v>40963</v>
      </c>
      <c r="B2471" s="12">
        <f t="shared" si="38"/>
        <v>40940</v>
      </c>
      <c r="C2471">
        <v>1.7091000000000001</v>
      </c>
    </row>
    <row r="2472" spans="1:3" x14ac:dyDescent="0.35">
      <c r="A2472" s="12">
        <v>40962</v>
      </c>
      <c r="B2472" s="12">
        <f t="shared" si="38"/>
        <v>40940</v>
      </c>
      <c r="C2472">
        <v>1.7033</v>
      </c>
    </row>
    <row r="2473" spans="1:3" x14ac:dyDescent="0.35">
      <c r="A2473" s="12">
        <v>40961</v>
      </c>
      <c r="B2473" s="12">
        <f t="shared" si="38"/>
        <v>40940</v>
      </c>
      <c r="C2473">
        <v>1.7069000000000001</v>
      </c>
    </row>
    <row r="2474" spans="1:3" x14ac:dyDescent="0.35">
      <c r="A2474" s="12">
        <v>40956</v>
      </c>
      <c r="B2474" s="12">
        <f t="shared" si="38"/>
        <v>40940</v>
      </c>
      <c r="C2474">
        <v>1.7130000000000001</v>
      </c>
    </row>
    <row r="2475" spans="1:3" x14ac:dyDescent="0.35">
      <c r="A2475" s="12">
        <v>40955</v>
      </c>
      <c r="B2475" s="12">
        <f t="shared" si="38"/>
        <v>40940</v>
      </c>
      <c r="C2475">
        <v>1.732</v>
      </c>
    </row>
    <row r="2476" spans="1:3" x14ac:dyDescent="0.35">
      <c r="A2476" s="12">
        <v>40954</v>
      </c>
      <c r="B2476" s="12">
        <f t="shared" si="38"/>
        <v>40940</v>
      </c>
      <c r="C2476">
        <v>1.7151000000000001</v>
      </c>
    </row>
    <row r="2477" spans="1:3" x14ac:dyDescent="0.35">
      <c r="A2477" s="12">
        <v>40953</v>
      </c>
      <c r="B2477" s="12">
        <f t="shared" si="38"/>
        <v>40940</v>
      </c>
      <c r="C2477">
        <v>1.7166999999999999</v>
      </c>
    </row>
    <row r="2478" spans="1:3" x14ac:dyDescent="0.35">
      <c r="A2478" s="12">
        <v>40952</v>
      </c>
      <c r="B2478" s="12">
        <f t="shared" si="38"/>
        <v>40940</v>
      </c>
      <c r="C2478">
        <v>1.7161999999999999</v>
      </c>
    </row>
    <row r="2479" spans="1:3" x14ac:dyDescent="0.35">
      <c r="A2479" s="12">
        <v>40949</v>
      </c>
      <c r="B2479" s="12">
        <f t="shared" si="38"/>
        <v>40940</v>
      </c>
      <c r="C2479">
        <v>1.7254</v>
      </c>
    </row>
    <row r="2480" spans="1:3" x14ac:dyDescent="0.35">
      <c r="A2480" s="12">
        <v>40948</v>
      </c>
      <c r="B2480" s="12">
        <f t="shared" si="38"/>
        <v>40940</v>
      </c>
      <c r="C2480">
        <v>1.7219</v>
      </c>
    </row>
    <row r="2481" spans="1:3" x14ac:dyDescent="0.35">
      <c r="A2481" s="12">
        <v>40947</v>
      </c>
      <c r="B2481" s="12">
        <f t="shared" si="38"/>
        <v>40940</v>
      </c>
      <c r="C2481">
        <v>1.7189000000000001</v>
      </c>
    </row>
    <row r="2482" spans="1:3" x14ac:dyDescent="0.35">
      <c r="A2482" s="12">
        <v>40946</v>
      </c>
      <c r="B2482" s="12">
        <f t="shared" si="38"/>
        <v>40940</v>
      </c>
      <c r="C2482">
        <v>1.7255</v>
      </c>
    </row>
    <row r="2483" spans="1:3" x14ac:dyDescent="0.35">
      <c r="A2483" s="12">
        <v>40945</v>
      </c>
      <c r="B2483" s="12">
        <f t="shared" si="38"/>
        <v>40940</v>
      </c>
      <c r="C2483">
        <v>1.7242999999999999</v>
      </c>
    </row>
    <row r="2484" spans="1:3" x14ac:dyDescent="0.35">
      <c r="A2484" s="12">
        <v>40942</v>
      </c>
      <c r="B2484" s="12">
        <f t="shared" si="38"/>
        <v>40940</v>
      </c>
      <c r="C2484">
        <v>1.7216</v>
      </c>
    </row>
    <row r="2485" spans="1:3" x14ac:dyDescent="0.35">
      <c r="A2485" s="12">
        <v>40941</v>
      </c>
      <c r="B2485" s="12">
        <f t="shared" si="38"/>
        <v>40940</v>
      </c>
      <c r="C2485">
        <v>1.732</v>
      </c>
    </row>
    <row r="2486" spans="1:3" x14ac:dyDescent="0.35">
      <c r="A2486" s="12">
        <v>40940</v>
      </c>
      <c r="B2486" s="12">
        <f t="shared" si="38"/>
        <v>40940</v>
      </c>
      <c r="C2486">
        <v>1.7370000000000001</v>
      </c>
    </row>
    <row r="2487" spans="1:3" x14ac:dyDescent="0.35">
      <c r="A2487" s="12">
        <v>40939</v>
      </c>
      <c r="B2487" s="12">
        <f t="shared" si="38"/>
        <v>40909</v>
      </c>
      <c r="C2487">
        <v>1.7384999999999999</v>
      </c>
    </row>
    <row r="2488" spans="1:3" x14ac:dyDescent="0.35">
      <c r="A2488" s="12">
        <v>40938</v>
      </c>
      <c r="B2488" s="12">
        <f t="shared" si="38"/>
        <v>40909</v>
      </c>
      <c r="C2488">
        <v>1.7502</v>
      </c>
    </row>
    <row r="2489" spans="1:3" x14ac:dyDescent="0.35">
      <c r="A2489" s="12">
        <v>40935</v>
      </c>
      <c r="B2489" s="12">
        <f t="shared" si="38"/>
        <v>40909</v>
      </c>
      <c r="C2489">
        <v>1.7428999999999999</v>
      </c>
    </row>
    <row r="2490" spans="1:3" x14ac:dyDescent="0.35">
      <c r="A2490" s="12">
        <v>40934</v>
      </c>
      <c r="B2490" s="12">
        <f t="shared" si="38"/>
        <v>40909</v>
      </c>
      <c r="C2490">
        <v>1.7382</v>
      </c>
    </row>
    <row r="2491" spans="1:3" x14ac:dyDescent="0.35">
      <c r="A2491" s="12">
        <v>40933</v>
      </c>
      <c r="B2491" s="12">
        <f t="shared" si="38"/>
        <v>40909</v>
      </c>
      <c r="C2491">
        <v>1.7623</v>
      </c>
    </row>
    <row r="2492" spans="1:3" x14ac:dyDescent="0.35">
      <c r="A2492" s="12">
        <v>40932</v>
      </c>
      <c r="B2492" s="12">
        <f t="shared" si="38"/>
        <v>40909</v>
      </c>
      <c r="C2492">
        <v>1.7643</v>
      </c>
    </row>
    <row r="2493" spans="1:3" x14ac:dyDescent="0.35">
      <c r="A2493" s="12">
        <v>40931</v>
      </c>
      <c r="B2493" s="12">
        <f t="shared" si="38"/>
        <v>40909</v>
      </c>
      <c r="C2493">
        <v>1.7521</v>
      </c>
    </row>
    <row r="2494" spans="1:3" x14ac:dyDescent="0.35">
      <c r="A2494" s="12">
        <v>40928</v>
      </c>
      <c r="B2494" s="12">
        <f t="shared" si="38"/>
        <v>40909</v>
      </c>
      <c r="C2494">
        <v>1.7664</v>
      </c>
    </row>
    <row r="2495" spans="1:3" x14ac:dyDescent="0.35">
      <c r="A2495" s="12">
        <v>40927</v>
      </c>
      <c r="B2495" s="12">
        <f t="shared" si="38"/>
        <v>40909</v>
      </c>
      <c r="C2495">
        <v>1.7642</v>
      </c>
    </row>
    <row r="2496" spans="1:3" x14ac:dyDescent="0.35">
      <c r="A2496" s="12">
        <v>40926</v>
      </c>
      <c r="B2496" s="12">
        <f t="shared" si="38"/>
        <v>40909</v>
      </c>
      <c r="C2496">
        <v>1.7785</v>
      </c>
    </row>
    <row r="2497" spans="1:3" x14ac:dyDescent="0.35">
      <c r="A2497" s="12">
        <v>40925</v>
      </c>
      <c r="B2497" s="12">
        <f t="shared" si="38"/>
        <v>40909</v>
      </c>
      <c r="C2497">
        <v>1.7754000000000001</v>
      </c>
    </row>
    <row r="2498" spans="1:3" x14ac:dyDescent="0.35">
      <c r="A2498" s="12">
        <v>40924</v>
      </c>
      <c r="B2498" s="12">
        <f t="shared" si="38"/>
        <v>40909</v>
      </c>
      <c r="C2498">
        <v>1.7829999999999999</v>
      </c>
    </row>
    <row r="2499" spans="1:3" x14ac:dyDescent="0.35">
      <c r="A2499" s="12">
        <v>40921</v>
      </c>
      <c r="B2499" s="12">
        <f t="shared" ref="B2499:B2562" si="39">DATE(YEAR(A2499),MONTH(A2499),DAY(1))</f>
        <v>40909</v>
      </c>
      <c r="C2499">
        <v>1.7846</v>
      </c>
    </row>
    <row r="2500" spans="1:3" x14ac:dyDescent="0.35">
      <c r="A2500" s="12">
        <v>40920</v>
      </c>
      <c r="B2500" s="12">
        <f t="shared" si="39"/>
        <v>40909</v>
      </c>
      <c r="C2500">
        <v>1.7867</v>
      </c>
    </row>
    <row r="2501" spans="1:3" x14ac:dyDescent="0.35">
      <c r="A2501" s="12">
        <v>40919</v>
      </c>
      <c r="B2501" s="12">
        <f t="shared" si="39"/>
        <v>40909</v>
      </c>
      <c r="C2501">
        <v>1.8041</v>
      </c>
    </row>
    <row r="2502" spans="1:3" x14ac:dyDescent="0.35">
      <c r="A2502" s="12">
        <v>40918</v>
      </c>
      <c r="B2502" s="12">
        <f t="shared" si="39"/>
        <v>40909</v>
      </c>
      <c r="C2502">
        <v>1.8036000000000001</v>
      </c>
    </row>
    <row r="2503" spans="1:3" x14ac:dyDescent="0.35">
      <c r="A2503" s="12">
        <v>40917</v>
      </c>
      <c r="B2503" s="12">
        <f t="shared" si="39"/>
        <v>40909</v>
      </c>
      <c r="C2503">
        <v>1.8434999999999999</v>
      </c>
    </row>
    <row r="2504" spans="1:3" x14ac:dyDescent="0.35">
      <c r="A2504" s="12">
        <v>40914</v>
      </c>
      <c r="B2504" s="12">
        <f t="shared" si="39"/>
        <v>40909</v>
      </c>
      <c r="C2504">
        <v>1.8442000000000001</v>
      </c>
    </row>
    <row r="2505" spans="1:3" x14ac:dyDescent="0.35">
      <c r="A2505" s="12">
        <v>40913</v>
      </c>
      <c r="B2505" s="12">
        <f t="shared" si="39"/>
        <v>40909</v>
      </c>
      <c r="C2505">
        <v>1.8365</v>
      </c>
    </row>
    <row r="2506" spans="1:3" x14ac:dyDescent="0.35">
      <c r="A2506" s="12">
        <v>40912</v>
      </c>
      <c r="B2506" s="12">
        <f t="shared" si="39"/>
        <v>40909</v>
      </c>
      <c r="C2506">
        <v>1.8265</v>
      </c>
    </row>
    <row r="2507" spans="1:3" x14ac:dyDescent="0.35">
      <c r="A2507" s="12">
        <v>40911</v>
      </c>
      <c r="B2507" s="12">
        <f t="shared" si="39"/>
        <v>40909</v>
      </c>
      <c r="C2507">
        <v>1.845</v>
      </c>
    </row>
    <row r="2508" spans="1:3" x14ac:dyDescent="0.35">
      <c r="A2508" s="12">
        <v>40910</v>
      </c>
      <c r="B2508" s="12">
        <f t="shared" si="39"/>
        <v>40909</v>
      </c>
      <c r="C2508">
        <v>1.8675999999999999</v>
      </c>
    </row>
    <row r="2509" spans="1:3" x14ac:dyDescent="0.35">
      <c r="A2509" s="12">
        <v>40906</v>
      </c>
      <c r="B2509" s="12">
        <f t="shared" si="39"/>
        <v>40878</v>
      </c>
      <c r="C2509">
        <v>1.8751</v>
      </c>
    </row>
    <row r="2510" spans="1:3" x14ac:dyDescent="0.35">
      <c r="A2510" s="12">
        <v>40905</v>
      </c>
      <c r="B2510" s="12">
        <f t="shared" si="39"/>
        <v>40878</v>
      </c>
      <c r="C2510">
        <v>1.8626</v>
      </c>
    </row>
    <row r="2511" spans="1:3" x14ac:dyDescent="0.35">
      <c r="A2511" s="12">
        <v>40904</v>
      </c>
      <c r="B2511" s="12">
        <f t="shared" si="39"/>
        <v>40878</v>
      </c>
      <c r="C2511">
        <v>1.8577999999999999</v>
      </c>
    </row>
    <row r="2512" spans="1:3" x14ac:dyDescent="0.35">
      <c r="A2512" s="12">
        <v>40903</v>
      </c>
      <c r="B2512" s="12">
        <f t="shared" si="39"/>
        <v>40878</v>
      </c>
      <c r="C2512">
        <v>1.8559000000000001</v>
      </c>
    </row>
    <row r="2513" spans="1:3" x14ac:dyDescent="0.35">
      <c r="A2513" s="12">
        <v>40900</v>
      </c>
      <c r="B2513" s="12">
        <f t="shared" si="39"/>
        <v>40878</v>
      </c>
      <c r="C2513">
        <v>1.8553999999999999</v>
      </c>
    </row>
    <row r="2514" spans="1:3" x14ac:dyDescent="0.35">
      <c r="A2514" s="12">
        <v>40899</v>
      </c>
      <c r="B2514" s="12">
        <f t="shared" si="39"/>
        <v>40878</v>
      </c>
      <c r="C2514">
        <v>1.8571</v>
      </c>
    </row>
    <row r="2515" spans="1:3" x14ac:dyDescent="0.35">
      <c r="A2515" s="12">
        <v>40898</v>
      </c>
      <c r="B2515" s="12">
        <f t="shared" si="39"/>
        <v>40878</v>
      </c>
      <c r="C2515">
        <v>1.855</v>
      </c>
    </row>
    <row r="2516" spans="1:3" x14ac:dyDescent="0.35">
      <c r="A2516" s="12">
        <v>40897</v>
      </c>
      <c r="B2516" s="12">
        <f t="shared" si="39"/>
        <v>40878</v>
      </c>
      <c r="C2516">
        <v>1.8501000000000001</v>
      </c>
    </row>
    <row r="2517" spans="1:3" x14ac:dyDescent="0.35">
      <c r="A2517" s="12">
        <v>40896</v>
      </c>
      <c r="B2517" s="12">
        <f t="shared" si="39"/>
        <v>40878</v>
      </c>
      <c r="C2517">
        <v>1.8608</v>
      </c>
    </row>
    <row r="2518" spans="1:3" x14ac:dyDescent="0.35">
      <c r="A2518" s="12">
        <v>40893</v>
      </c>
      <c r="B2518" s="12">
        <f t="shared" si="39"/>
        <v>40878</v>
      </c>
      <c r="C2518">
        <v>1.8458000000000001</v>
      </c>
    </row>
    <row r="2519" spans="1:3" x14ac:dyDescent="0.35">
      <c r="A2519" s="12">
        <v>40892</v>
      </c>
      <c r="B2519" s="12">
        <f t="shared" si="39"/>
        <v>40878</v>
      </c>
      <c r="C2519">
        <v>1.8602000000000001</v>
      </c>
    </row>
    <row r="2520" spans="1:3" x14ac:dyDescent="0.35">
      <c r="A2520" s="12">
        <v>40891</v>
      </c>
      <c r="B2520" s="12">
        <f t="shared" si="39"/>
        <v>40878</v>
      </c>
      <c r="C2520">
        <v>1.8721000000000001</v>
      </c>
    </row>
    <row r="2521" spans="1:3" x14ac:dyDescent="0.35">
      <c r="A2521" s="12">
        <v>40890</v>
      </c>
      <c r="B2521" s="12">
        <f t="shared" si="39"/>
        <v>40878</v>
      </c>
      <c r="C2521">
        <v>1.8403</v>
      </c>
    </row>
    <row r="2522" spans="1:3" x14ac:dyDescent="0.35">
      <c r="A2522" s="12">
        <v>40889</v>
      </c>
      <c r="B2522" s="12">
        <f t="shared" si="39"/>
        <v>40878</v>
      </c>
      <c r="C2522">
        <v>1.8210999999999999</v>
      </c>
    </row>
    <row r="2523" spans="1:3" x14ac:dyDescent="0.35">
      <c r="A2523" s="12">
        <v>40886</v>
      </c>
      <c r="B2523" s="12">
        <f t="shared" si="39"/>
        <v>40878</v>
      </c>
      <c r="C2523">
        <v>1.8123</v>
      </c>
    </row>
    <row r="2524" spans="1:3" x14ac:dyDescent="0.35">
      <c r="A2524" s="12">
        <v>40885</v>
      </c>
      <c r="B2524" s="12">
        <f t="shared" si="39"/>
        <v>40878</v>
      </c>
      <c r="C2524">
        <v>1.7934000000000001</v>
      </c>
    </row>
    <row r="2525" spans="1:3" x14ac:dyDescent="0.35">
      <c r="A2525" s="12">
        <v>40884</v>
      </c>
      <c r="B2525" s="12">
        <f t="shared" si="39"/>
        <v>40878</v>
      </c>
      <c r="C2525">
        <v>1.7974000000000001</v>
      </c>
    </row>
    <row r="2526" spans="1:3" x14ac:dyDescent="0.35">
      <c r="A2526" s="12">
        <v>40883</v>
      </c>
      <c r="B2526" s="12">
        <f t="shared" si="39"/>
        <v>40878</v>
      </c>
      <c r="C2526">
        <v>1.7906</v>
      </c>
    </row>
    <row r="2527" spans="1:3" x14ac:dyDescent="0.35">
      <c r="A2527" s="12">
        <v>40882</v>
      </c>
      <c r="B2527" s="12">
        <f t="shared" si="39"/>
        <v>40878</v>
      </c>
      <c r="C2527">
        <v>1.7823</v>
      </c>
    </row>
    <row r="2528" spans="1:3" x14ac:dyDescent="0.35">
      <c r="A2528" s="12">
        <v>40879</v>
      </c>
      <c r="B2528" s="12">
        <f t="shared" si="39"/>
        <v>40878</v>
      </c>
      <c r="C2528">
        <v>1.7836000000000001</v>
      </c>
    </row>
    <row r="2529" spans="1:3" x14ac:dyDescent="0.35">
      <c r="A2529" s="12">
        <v>40878</v>
      </c>
      <c r="B2529" s="12">
        <f t="shared" si="39"/>
        <v>40878</v>
      </c>
      <c r="C2529">
        <v>1.7922</v>
      </c>
    </row>
    <row r="2530" spans="1:3" x14ac:dyDescent="0.35">
      <c r="A2530" s="12">
        <v>40877</v>
      </c>
      <c r="B2530" s="12">
        <f t="shared" si="39"/>
        <v>40848</v>
      </c>
      <c r="C2530">
        <v>1.8102</v>
      </c>
    </row>
    <row r="2531" spans="1:3" x14ac:dyDescent="0.35">
      <c r="A2531" s="12">
        <v>40876</v>
      </c>
      <c r="B2531" s="12">
        <f t="shared" si="39"/>
        <v>40848</v>
      </c>
      <c r="C2531">
        <v>1.8478000000000001</v>
      </c>
    </row>
    <row r="2532" spans="1:3" x14ac:dyDescent="0.35">
      <c r="A2532" s="12">
        <v>40875</v>
      </c>
      <c r="B2532" s="12">
        <f t="shared" si="39"/>
        <v>40848</v>
      </c>
      <c r="C2532">
        <v>1.859</v>
      </c>
    </row>
    <row r="2533" spans="1:3" x14ac:dyDescent="0.35">
      <c r="A2533" s="12">
        <v>40872</v>
      </c>
      <c r="B2533" s="12">
        <f t="shared" si="39"/>
        <v>40848</v>
      </c>
      <c r="C2533">
        <v>1.893</v>
      </c>
    </row>
    <row r="2534" spans="1:3" x14ac:dyDescent="0.35">
      <c r="A2534" s="12">
        <v>40871</v>
      </c>
      <c r="B2534" s="12">
        <f t="shared" si="39"/>
        <v>40848</v>
      </c>
      <c r="C2534">
        <v>1.8652</v>
      </c>
    </row>
    <row r="2535" spans="1:3" x14ac:dyDescent="0.35">
      <c r="A2535" s="12">
        <v>40870</v>
      </c>
      <c r="B2535" s="12">
        <f t="shared" si="39"/>
        <v>40848</v>
      </c>
      <c r="C2535">
        <v>1.8433999999999999</v>
      </c>
    </row>
    <row r="2536" spans="1:3" x14ac:dyDescent="0.35">
      <c r="A2536" s="12">
        <v>40869</v>
      </c>
      <c r="B2536" s="12">
        <f t="shared" si="39"/>
        <v>40848</v>
      </c>
      <c r="C2536">
        <v>1.8062</v>
      </c>
    </row>
    <row r="2537" spans="1:3" x14ac:dyDescent="0.35">
      <c r="A2537" s="12">
        <v>40868</v>
      </c>
      <c r="B2537" s="12">
        <f t="shared" si="39"/>
        <v>40848</v>
      </c>
      <c r="C2537">
        <v>1.8052999999999999</v>
      </c>
    </row>
    <row r="2538" spans="1:3" x14ac:dyDescent="0.35">
      <c r="A2538" s="12">
        <v>40865</v>
      </c>
      <c r="B2538" s="12">
        <f t="shared" si="39"/>
        <v>40848</v>
      </c>
      <c r="C2538">
        <v>1.7716000000000001</v>
      </c>
    </row>
    <row r="2539" spans="1:3" x14ac:dyDescent="0.35">
      <c r="A2539" s="12">
        <v>40864</v>
      </c>
      <c r="B2539" s="12">
        <f t="shared" si="39"/>
        <v>40848</v>
      </c>
      <c r="C2539">
        <v>1.7766999999999999</v>
      </c>
    </row>
    <row r="2540" spans="1:3" x14ac:dyDescent="0.35">
      <c r="A2540" s="12">
        <v>40863</v>
      </c>
      <c r="B2540" s="12">
        <f t="shared" si="39"/>
        <v>40848</v>
      </c>
      <c r="C2540">
        <v>1.7765</v>
      </c>
    </row>
    <row r="2541" spans="1:3" x14ac:dyDescent="0.35">
      <c r="A2541" s="12">
        <v>40861</v>
      </c>
      <c r="B2541" s="12">
        <f t="shared" si="39"/>
        <v>40848</v>
      </c>
      <c r="C2541">
        <v>1.7642</v>
      </c>
    </row>
    <row r="2542" spans="1:3" x14ac:dyDescent="0.35">
      <c r="A2542" s="12">
        <v>40858</v>
      </c>
      <c r="B2542" s="12">
        <f t="shared" si="39"/>
        <v>40848</v>
      </c>
      <c r="C2542">
        <v>1.754</v>
      </c>
    </row>
    <row r="2543" spans="1:3" x14ac:dyDescent="0.35">
      <c r="A2543" s="12">
        <v>40857</v>
      </c>
      <c r="B2543" s="12">
        <f t="shared" si="39"/>
        <v>40848</v>
      </c>
      <c r="C2543">
        <v>1.7603</v>
      </c>
    </row>
    <row r="2544" spans="1:3" x14ac:dyDescent="0.35">
      <c r="A2544" s="12">
        <v>40856</v>
      </c>
      <c r="B2544" s="12">
        <f t="shared" si="39"/>
        <v>40848</v>
      </c>
      <c r="C2544">
        <v>1.7509999999999999</v>
      </c>
    </row>
    <row r="2545" spans="1:3" x14ac:dyDescent="0.35">
      <c r="A2545" s="12">
        <v>40855</v>
      </c>
      <c r="B2545" s="12">
        <f t="shared" si="39"/>
        <v>40848</v>
      </c>
      <c r="C2545">
        <v>1.7445999999999999</v>
      </c>
    </row>
    <row r="2546" spans="1:3" x14ac:dyDescent="0.35">
      <c r="A2546" s="12">
        <v>40854</v>
      </c>
      <c r="B2546" s="12">
        <f t="shared" si="39"/>
        <v>40848</v>
      </c>
      <c r="C2546">
        <v>1.7485999999999999</v>
      </c>
    </row>
    <row r="2547" spans="1:3" x14ac:dyDescent="0.35">
      <c r="A2547" s="12">
        <v>40851</v>
      </c>
      <c r="B2547" s="12">
        <f t="shared" si="39"/>
        <v>40848</v>
      </c>
      <c r="C2547">
        <v>1.7407999999999999</v>
      </c>
    </row>
    <row r="2548" spans="1:3" x14ac:dyDescent="0.35">
      <c r="A2548" s="12">
        <v>40850</v>
      </c>
      <c r="B2548" s="12">
        <f t="shared" si="39"/>
        <v>40848</v>
      </c>
      <c r="C2548">
        <v>1.7262</v>
      </c>
    </row>
    <row r="2549" spans="1:3" x14ac:dyDescent="0.35">
      <c r="A2549" s="12">
        <v>40848</v>
      </c>
      <c r="B2549" s="12">
        <f t="shared" si="39"/>
        <v>40848</v>
      </c>
      <c r="C2549">
        <v>1.7499</v>
      </c>
    </row>
    <row r="2550" spans="1:3" x14ac:dyDescent="0.35">
      <c r="A2550" s="12">
        <v>40847</v>
      </c>
      <c r="B2550" s="12">
        <f t="shared" si="39"/>
        <v>40817</v>
      </c>
      <c r="C2550">
        <v>1.6878</v>
      </c>
    </row>
    <row r="2551" spans="1:3" x14ac:dyDescent="0.35">
      <c r="A2551" s="12">
        <v>40844</v>
      </c>
      <c r="B2551" s="12">
        <f t="shared" si="39"/>
        <v>40817</v>
      </c>
      <c r="C2551">
        <v>1.6979</v>
      </c>
    </row>
    <row r="2552" spans="1:3" x14ac:dyDescent="0.35">
      <c r="A2552" s="12">
        <v>40843</v>
      </c>
      <c r="B2552" s="12">
        <f t="shared" si="39"/>
        <v>40817</v>
      </c>
      <c r="C2552">
        <v>1.7316</v>
      </c>
    </row>
    <row r="2553" spans="1:3" x14ac:dyDescent="0.35">
      <c r="A2553" s="12">
        <v>40842</v>
      </c>
      <c r="B2553" s="12">
        <f t="shared" si="39"/>
        <v>40817</v>
      </c>
      <c r="C2553">
        <v>1.7599</v>
      </c>
    </row>
    <row r="2554" spans="1:3" x14ac:dyDescent="0.35">
      <c r="A2554" s="12">
        <v>40841</v>
      </c>
      <c r="B2554" s="12">
        <f t="shared" si="39"/>
        <v>40817</v>
      </c>
      <c r="C2554">
        <v>1.7541</v>
      </c>
    </row>
    <row r="2555" spans="1:3" x14ac:dyDescent="0.35">
      <c r="A2555" s="12">
        <v>40840</v>
      </c>
      <c r="B2555" s="12">
        <f t="shared" si="39"/>
        <v>40817</v>
      </c>
      <c r="C2555">
        <v>1.7761</v>
      </c>
    </row>
    <row r="2556" spans="1:3" x14ac:dyDescent="0.35">
      <c r="A2556" s="12">
        <v>40837</v>
      </c>
      <c r="B2556" s="12">
        <f t="shared" si="39"/>
        <v>40817</v>
      </c>
      <c r="C2556">
        <v>1.7796000000000001</v>
      </c>
    </row>
    <row r="2557" spans="1:3" x14ac:dyDescent="0.35">
      <c r="A2557" s="12">
        <v>40836</v>
      </c>
      <c r="B2557" s="12">
        <f t="shared" si="39"/>
        <v>40817</v>
      </c>
      <c r="C2557">
        <v>1.7819</v>
      </c>
    </row>
    <row r="2558" spans="1:3" x14ac:dyDescent="0.35">
      <c r="A2558" s="12">
        <v>40835</v>
      </c>
      <c r="B2558" s="12">
        <f t="shared" si="39"/>
        <v>40817</v>
      </c>
      <c r="C2558">
        <v>1.7597</v>
      </c>
    </row>
    <row r="2559" spans="1:3" x14ac:dyDescent="0.35">
      <c r="A2559" s="12">
        <v>40834</v>
      </c>
      <c r="B2559" s="12">
        <f t="shared" si="39"/>
        <v>40817</v>
      </c>
      <c r="C2559">
        <v>1.7717000000000001</v>
      </c>
    </row>
    <row r="2560" spans="1:3" x14ac:dyDescent="0.35">
      <c r="A2560" s="12">
        <v>40833</v>
      </c>
      <c r="B2560" s="12">
        <f t="shared" si="39"/>
        <v>40817</v>
      </c>
      <c r="C2560">
        <v>1.7481</v>
      </c>
    </row>
    <row r="2561" spans="1:3" x14ac:dyDescent="0.35">
      <c r="A2561" s="12">
        <v>40830</v>
      </c>
      <c r="B2561" s="12">
        <f t="shared" si="39"/>
        <v>40817</v>
      </c>
      <c r="C2561">
        <v>1.7369000000000001</v>
      </c>
    </row>
    <row r="2562" spans="1:3" x14ac:dyDescent="0.35">
      <c r="A2562" s="12">
        <v>40829</v>
      </c>
      <c r="B2562" s="12">
        <f t="shared" si="39"/>
        <v>40817</v>
      </c>
      <c r="C2562">
        <v>1.7528999999999999</v>
      </c>
    </row>
    <row r="2563" spans="1:3" x14ac:dyDescent="0.35">
      <c r="A2563" s="12">
        <v>40827</v>
      </c>
      <c r="B2563" s="12">
        <f t="shared" ref="B2563:B2626" si="40">DATE(YEAR(A2563),MONTH(A2563),DAY(1))</f>
        <v>40817</v>
      </c>
      <c r="C2563">
        <v>1.7652000000000001</v>
      </c>
    </row>
    <row r="2564" spans="1:3" x14ac:dyDescent="0.35">
      <c r="A2564" s="12">
        <v>40826</v>
      </c>
      <c r="B2564" s="12">
        <f t="shared" si="40"/>
        <v>40817</v>
      </c>
      <c r="C2564">
        <v>1.7471000000000001</v>
      </c>
    </row>
    <row r="2565" spans="1:3" x14ac:dyDescent="0.35">
      <c r="A2565" s="12">
        <v>40823</v>
      </c>
      <c r="B2565" s="12">
        <f t="shared" si="40"/>
        <v>40817</v>
      </c>
      <c r="C2565">
        <v>1.7659</v>
      </c>
    </row>
    <row r="2566" spans="1:3" x14ac:dyDescent="0.35">
      <c r="A2566" s="12">
        <v>40822</v>
      </c>
      <c r="B2566" s="12">
        <f t="shared" si="40"/>
        <v>40817</v>
      </c>
      <c r="C2566">
        <v>1.8109</v>
      </c>
    </row>
    <row r="2567" spans="1:3" x14ac:dyDescent="0.35">
      <c r="A2567" s="12">
        <v>40821</v>
      </c>
      <c r="B2567" s="12">
        <f t="shared" si="40"/>
        <v>40817</v>
      </c>
      <c r="C2567">
        <v>1.8449</v>
      </c>
    </row>
    <row r="2568" spans="1:3" x14ac:dyDescent="0.35">
      <c r="A2568" s="12">
        <v>40820</v>
      </c>
      <c r="B2568" s="12">
        <f t="shared" si="40"/>
        <v>40817</v>
      </c>
      <c r="C2568">
        <v>1.8848</v>
      </c>
    </row>
    <row r="2569" spans="1:3" x14ac:dyDescent="0.35">
      <c r="A2569" s="12">
        <v>40819</v>
      </c>
      <c r="B2569" s="12">
        <f t="shared" si="40"/>
        <v>40817</v>
      </c>
      <c r="C2569">
        <v>1.8804000000000001</v>
      </c>
    </row>
    <row r="2570" spans="1:3" x14ac:dyDescent="0.35">
      <c r="A2570" s="12">
        <v>40816</v>
      </c>
      <c r="B2570" s="12">
        <f t="shared" si="40"/>
        <v>40787</v>
      </c>
      <c r="C2570">
        <v>1.8535999999999999</v>
      </c>
    </row>
    <row r="2571" spans="1:3" x14ac:dyDescent="0.35">
      <c r="A2571" s="12">
        <v>40815</v>
      </c>
      <c r="B2571" s="12">
        <f t="shared" si="40"/>
        <v>40787</v>
      </c>
      <c r="C2571">
        <v>1.8283</v>
      </c>
    </row>
    <row r="2572" spans="1:3" x14ac:dyDescent="0.35">
      <c r="A2572" s="12">
        <v>40814</v>
      </c>
      <c r="B2572" s="12">
        <f t="shared" si="40"/>
        <v>40787</v>
      </c>
      <c r="C2572">
        <v>1.8123</v>
      </c>
    </row>
    <row r="2573" spans="1:3" x14ac:dyDescent="0.35">
      <c r="A2573" s="12">
        <v>40813</v>
      </c>
      <c r="B2573" s="12">
        <f t="shared" si="40"/>
        <v>40787</v>
      </c>
      <c r="C2573">
        <v>1.8</v>
      </c>
    </row>
    <row r="2574" spans="1:3" x14ac:dyDescent="0.35">
      <c r="A2574" s="12">
        <v>40812</v>
      </c>
      <c r="B2574" s="12">
        <f t="shared" si="40"/>
        <v>40787</v>
      </c>
      <c r="C2574">
        <v>1.8436999999999999</v>
      </c>
    </row>
    <row r="2575" spans="1:3" x14ac:dyDescent="0.35">
      <c r="A2575" s="12">
        <v>40809</v>
      </c>
      <c r="B2575" s="12">
        <f t="shared" si="40"/>
        <v>40787</v>
      </c>
      <c r="C2575">
        <v>1.8727</v>
      </c>
    </row>
    <row r="2576" spans="1:3" x14ac:dyDescent="0.35">
      <c r="A2576" s="12">
        <v>40808</v>
      </c>
      <c r="B2576" s="12">
        <f t="shared" si="40"/>
        <v>40787</v>
      </c>
      <c r="C2576">
        <v>1.9008</v>
      </c>
    </row>
    <row r="2577" spans="1:3" x14ac:dyDescent="0.35">
      <c r="A2577" s="12">
        <v>40807</v>
      </c>
      <c r="B2577" s="12">
        <f t="shared" si="40"/>
        <v>40787</v>
      </c>
      <c r="C2577">
        <v>1.8271999999999999</v>
      </c>
    </row>
    <row r="2578" spans="1:3" x14ac:dyDescent="0.35">
      <c r="A2578" s="12">
        <v>40806</v>
      </c>
      <c r="B2578" s="12">
        <f t="shared" si="40"/>
        <v>40787</v>
      </c>
      <c r="C2578">
        <v>1.7862</v>
      </c>
    </row>
    <row r="2579" spans="1:3" x14ac:dyDescent="0.35">
      <c r="A2579" s="12">
        <v>40805</v>
      </c>
      <c r="B2579" s="12">
        <f t="shared" si="40"/>
        <v>40787</v>
      </c>
      <c r="C2579">
        <v>1.7755000000000001</v>
      </c>
    </row>
    <row r="2580" spans="1:3" x14ac:dyDescent="0.35">
      <c r="A2580" s="12">
        <v>40802</v>
      </c>
      <c r="B2580" s="12">
        <f t="shared" si="40"/>
        <v>40787</v>
      </c>
      <c r="C2580">
        <v>1.7114</v>
      </c>
    </row>
    <row r="2581" spans="1:3" x14ac:dyDescent="0.35">
      <c r="A2581" s="12">
        <v>40801</v>
      </c>
      <c r="B2581" s="12">
        <f t="shared" si="40"/>
        <v>40787</v>
      </c>
      <c r="C2581">
        <v>1.7098</v>
      </c>
    </row>
    <row r="2582" spans="1:3" x14ac:dyDescent="0.35">
      <c r="A2582" s="12">
        <v>40800</v>
      </c>
      <c r="B2582" s="12">
        <f t="shared" si="40"/>
        <v>40787</v>
      </c>
      <c r="C2582">
        <v>1.728</v>
      </c>
    </row>
    <row r="2583" spans="1:3" x14ac:dyDescent="0.35">
      <c r="A2583" s="12">
        <v>40799</v>
      </c>
      <c r="B2583" s="12">
        <f t="shared" si="40"/>
        <v>40787</v>
      </c>
      <c r="C2583">
        <v>1.7119</v>
      </c>
    </row>
    <row r="2584" spans="1:3" x14ac:dyDescent="0.35">
      <c r="A2584" s="12">
        <v>40798</v>
      </c>
      <c r="B2584" s="12">
        <f t="shared" si="40"/>
        <v>40787</v>
      </c>
      <c r="C2584">
        <v>1.6891</v>
      </c>
    </row>
    <row r="2585" spans="1:3" x14ac:dyDescent="0.35">
      <c r="A2585" s="12">
        <v>40795</v>
      </c>
      <c r="B2585" s="12">
        <f t="shared" si="40"/>
        <v>40787</v>
      </c>
      <c r="C2585">
        <v>1.6766000000000001</v>
      </c>
    </row>
    <row r="2586" spans="1:3" x14ac:dyDescent="0.35">
      <c r="A2586" s="12">
        <v>40794</v>
      </c>
      <c r="B2586" s="12">
        <f t="shared" si="40"/>
        <v>40787</v>
      </c>
      <c r="C2586">
        <v>1.6557999999999999</v>
      </c>
    </row>
    <row r="2587" spans="1:3" x14ac:dyDescent="0.35">
      <c r="A2587" s="12">
        <v>40792</v>
      </c>
      <c r="B2587" s="12">
        <f t="shared" si="40"/>
        <v>40787</v>
      </c>
      <c r="C2587">
        <v>1.6575</v>
      </c>
    </row>
    <row r="2588" spans="1:3" x14ac:dyDescent="0.35">
      <c r="A2588" s="12">
        <v>40791</v>
      </c>
      <c r="B2588" s="12">
        <f t="shared" si="40"/>
        <v>40787</v>
      </c>
      <c r="C2588">
        <v>1.6514</v>
      </c>
    </row>
    <row r="2589" spans="1:3" x14ac:dyDescent="0.35">
      <c r="A2589" s="12">
        <v>40788</v>
      </c>
      <c r="B2589" s="12">
        <f t="shared" si="40"/>
        <v>40787</v>
      </c>
      <c r="C2589">
        <v>1.6335</v>
      </c>
    </row>
    <row r="2590" spans="1:3" x14ac:dyDescent="0.35">
      <c r="A2590" s="12">
        <v>40787</v>
      </c>
      <c r="B2590" s="12">
        <f t="shared" si="40"/>
        <v>40787</v>
      </c>
      <c r="C2590">
        <v>1.6032</v>
      </c>
    </row>
    <row r="2591" spans="1:3" x14ac:dyDescent="0.35">
      <c r="A2591" s="12">
        <v>40786</v>
      </c>
      <c r="B2591" s="12">
        <f t="shared" si="40"/>
        <v>40756</v>
      </c>
      <c r="C2591">
        <v>1.5864</v>
      </c>
    </row>
    <row r="2592" spans="1:3" x14ac:dyDescent="0.35">
      <c r="A2592" s="12">
        <v>40785</v>
      </c>
      <c r="B2592" s="12">
        <f t="shared" si="40"/>
        <v>40756</v>
      </c>
      <c r="C2592">
        <v>1.5895999999999999</v>
      </c>
    </row>
    <row r="2593" spans="1:3" x14ac:dyDescent="0.35">
      <c r="A2593" s="12">
        <v>40784</v>
      </c>
      <c r="B2593" s="12">
        <f t="shared" si="40"/>
        <v>40756</v>
      </c>
      <c r="C2593">
        <v>1.5966</v>
      </c>
    </row>
    <row r="2594" spans="1:3" x14ac:dyDescent="0.35">
      <c r="A2594" s="12">
        <v>40781</v>
      </c>
      <c r="B2594" s="12">
        <f t="shared" si="40"/>
        <v>40756</v>
      </c>
      <c r="C2594">
        <v>1.6106</v>
      </c>
    </row>
    <row r="2595" spans="1:3" x14ac:dyDescent="0.35">
      <c r="A2595" s="12">
        <v>40780</v>
      </c>
      <c r="B2595" s="12">
        <f t="shared" si="40"/>
        <v>40756</v>
      </c>
      <c r="C2595">
        <v>1.6146</v>
      </c>
    </row>
    <row r="2596" spans="1:3" x14ac:dyDescent="0.35">
      <c r="A2596" s="12">
        <v>40779</v>
      </c>
      <c r="B2596" s="12">
        <f t="shared" si="40"/>
        <v>40756</v>
      </c>
      <c r="C2596">
        <v>1.6031</v>
      </c>
    </row>
    <row r="2597" spans="1:3" x14ac:dyDescent="0.35">
      <c r="A2597" s="12">
        <v>40778</v>
      </c>
      <c r="B2597" s="12">
        <f t="shared" si="40"/>
        <v>40756</v>
      </c>
      <c r="C2597">
        <v>1.6028</v>
      </c>
    </row>
    <row r="2598" spans="1:3" x14ac:dyDescent="0.35">
      <c r="A2598" s="12">
        <v>40777</v>
      </c>
      <c r="B2598" s="12">
        <f t="shared" si="40"/>
        <v>40756</v>
      </c>
      <c r="C2598">
        <v>1.6001000000000001</v>
      </c>
    </row>
    <row r="2599" spans="1:3" x14ac:dyDescent="0.35">
      <c r="A2599" s="12">
        <v>40774</v>
      </c>
      <c r="B2599" s="12">
        <f t="shared" si="40"/>
        <v>40756</v>
      </c>
      <c r="C2599">
        <v>1.5952</v>
      </c>
    </row>
    <row r="2600" spans="1:3" x14ac:dyDescent="0.35">
      <c r="A2600" s="12">
        <v>40773</v>
      </c>
      <c r="B2600" s="12">
        <f t="shared" si="40"/>
        <v>40756</v>
      </c>
      <c r="C2600">
        <v>1.6053999999999999</v>
      </c>
    </row>
    <row r="2601" spans="1:3" x14ac:dyDescent="0.35">
      <c r="A2601" s="12">
        <v>40772</v>
      </c>
      <c r="B2601" s="12">
        <f t="shared" si="40"/>
        <v>40756</v>
      </c>
      <c r="C2601">
        <v>1.5822000000000001</v>
      </c>
    </row>
    <row r="2602" spans="1:3" x14ac:dyDescent="0.35">
      <c r="A2602" s="12">
        <v>40771</v>
      </c>
      <c r="B2602" s="12">
        <f t="shared" si="40"/>
        <v>40756</v>
      </c>
      <c r="C2602">
        <v>1.591</v>
      </c>
    </row>
    <row r="2603" spans="1:3" x14ac:dyDescent="0.35">
      <c r="A2603" s="12">
        <v>40770</v>
      </c>
      <c r="B2603" s="12">
        <f t="shared" si="40"/>
        <v>40756</v>
      </c>
      <c r="C2603">
        <v>1.5948</v>
      </c>
    </row>
    <row r="2604" spans="1:3" x14ac:dyDescent="0.35">
      <c r="A2604" s="12">
        <v>40767</v>
      </c>
      <c r="B2604" s="12">
        <f t="shared" si="40"/>
        <v>40756</v>
      </c>
      <c r="C2604">
        <v>1.6149</v>
      </c>
    </row>
    <row r="2605" spans="1:3" x14ac:dyDescent="0.35">
      <c r="A2605" s="12">
        <v>40766</v>
      </c>
      <c r="B2605" s="12">
        <f t="shared" si="40"/>
        <v>40756</v>
      </c>
      <c r="C2605">
        <v>1.6297999999999999</v>
      </c>
    </row>
    <row r="2606" spans="1:3" x14ac:dyDescent="0.35">
      <c r="A2606" s="12">
        <v>40765</v>
      </c>
      <c r="B2606" s="12">
        <f t="shared" si="40"/>
        <v>40756</v>
      </c>
      <c r="C2606">
        <v>1.6174999999999999</v>
      </c>
    </row>
    <row r="2607" spans="1:3" x14ac:dyDescent="0.35">
      <c r="A2607" s="12">
        <v>40764</v>
      </c>
      <c r="B2607" s="12">
        <f t="shared" si="40"/>
        <v>40756</v>
      </c>
      <c r="C2607">
        <v>1.6326000000000001</v>
      </c>
    </row>
    <row r="2608" spans="1:3" x14ac:dyDescent="0.35">
      <c r="A2608" s="12">
        <v>40763</v>
      </c>
      <c r="B2608" s="12">
        <f t="shared" si="40"/>
        <v>40756</v>
      </c>
      <c r="C2608">
        <v>1.5991</v>
      </c>
    </row>
    <row r="2609" spans="1:3" x14ac:dyDescent="0.35">
      <c r="A2609" s="12">
        <v>40760</v>
      </c>
      <c r="B2609" s="12">
        <f t="shared" si="40"/>
        <v>40756</v>
      </c>
      <c r="C2609">
        <v>1.5887</v>
      </c>
    </row>
    <row r="2610" spans="1:3" x14ac:dyDescent="0.35">
      <c r="A2610" s="12">
        <v>40759</v>
      </c>
      <c r="B2610" s="12">
        <f t="shared" si="40"/>
        <v>40756</v>
      </c>
      <c r="C2610">
        <v>1.5744</v>
      </c>
    </row>
    <row r="2611" spans="1:3" x14ac:dyDescent="0.35">
      <c r="A2611" s="12">
        <v>40758</v>
      </c>
      <c r="B2611" s="12">
        <f t="shared" si="40"/>
        <v>40756</v>
      </c>
      <c r="C2611">
        <v>1.5643</v>
      </c>
    </row>
    <row r="2612" spans="1:3" x14ac:dyDescent="0.35">
      <c r="A2612" s="12">
        <v>40757</v>
      </c>
      <c r="B2612" s="12">
        <f t="shared" si="40"/>
        <v>40756</v>
      </c>
      <c r="C2612">
        <v>1.5648</v>
      </c>
    </row>
    <row r="2613" spans="1:3" x14ac:dyDescent="0.35">
      <c r="A2613" s="12">
        <v>40756</v>
      </c>
      <c r="B2613" s="12">
        <f t="shared" si="40"/>
        <v>40756</v>
      </c>
      <c r="C2613">
        <v>1.5543</v>
      </c>
    </row>
    <row r="2614" spans="1:3" x14ac:dyDescent="0.35">
      <c r="A2614" s="12">
        <v>40753</v>
      </c>
      <c r="B2614" s="12">
        <f t="shared" si="40"/>
        <v>40725</v>
      </c>
      <c r="C2614">
        <v>1.5555000000000001</v>
      </c>
    </row>
    <row r="2615" spans="1:3" x14ac:dyDescent="0.35">
      <c r="A2615" s="12">
        <v>40752</v>
      </c>
      <c r="B2615" s="12">
        <f t="shared" si="40"/>
        <v>40725</v>
      </c>
      <c r="C2615">
        <v>1.5643</v>
      </c>
    </row>
    <row r="2616" spans="1:3" x14ac:dyDescent="0.35">
      <c r="A2616" s="12">
        <v>40751</v>
      </c>
      <c r="B2616" s="12">
        <f t="shared" si="40"/>
        <v>40725</v>
      </c>
      <c r="C2616">
        <v>1.5630999999999999</v>
      </c>
    </row>
    <row r="2617" spans="1:3" x14ac:dyDescent="0.35">
      <c r="A2617" s="12">
        <v>40750</v>
      </c>
      <c r="B2617" s="12">
        <f t="shared" si="40"/>
        <v>40725</v>
      </c>
      <c r="C2617">
        <v>1.5337000000000001</v>
      </c>
    </row>
    <row r="2618" spans="1:3" x14ac:dyDescent="0.35">
      <c r="A2618" s="12">
        <v>40749</v>
      </c>
      <c r="B2618" s="12">
        <f t="shared" si="40"/>
        <v>40725</v>
      </c>
      <c r="C2618">
        <v>1.5441</v>
      </c>
    </row>
    <row r="2619" spans="1:3" x14ac:dyDescent="0.35">
      <c r="A2619" s="12">
        <v>40746</v>
      </c>
      <c r="B2619" s="12">
        <f t="shared" si="40"/>
        <v>40725</v>
      </c>
      <c r="C2619">
        <v>1.5539000000000001</v>
      </c>
    </row>
    <row r="2620" spans="1:3" x14ac:dyDescent="0.35">
      <c r="A2620" s="12">
        <v>40745</v>
      </c>
      <c r="B2620" s="12">
        <f t="shared" si="40"/>
        <v>40725</v>
      </c>
      <c r="C2620">
        <v>1.5559000000000001</v>
      </c>
    </row>
    <row r="2621" spans="1:3" x14ac:dyDescent="0.35">
      <c r="A2621" s="12">
        <v>40744</v>
      </c>
      <c r="B2621" s="12">
        <f t="shared" si="40"/>
        <v>40725</v>
      </c>
      <c r="C2621">
        <v>1.5643</v>
      </c>
    </row>
    <row r="2622" spans="1:3" x14ac:dyDescent="0.35">
      <c r="A2622" s="12">
        <v>40743</v>
      </c>
      <c r="B2622" s="12">
        <f t="shared" si="40"/>
        <v>40725</v>
      </c>
      <c r="C2622">
        <v>1.5683</v>
      </c>
    </row>
    <row r="2623" spans="1:3" x14ac:dyDescent="0.35">
      <c r="A2623" s="12">
        <v>40742</v>
      </c>
      <c r="B2623" s="12">
        <f t="shared" si="40"/>
        <v>40725</v>
      </c>
      <c r="C2623">
        <v>1.5820000000000001</v>
      </c>
    </row>
    <row r="2624" spans="1:3" x14ac:dyDescent="0.35">
      <c r="A2624" s="12">
        <v>40739</v>
      </c>
      <c r="B2624" s="12">
        <f t="shared" si="40"/>
        <v>40725</v>
      </c>
      <c r="C2624">
        <v>1.5734999999999999</v>
      </c>
    </row>
    <row r="2625" spans="1:3" x14ac:dyDescent="0.35">
      <c r="A2625" s="12">
        <v>40738</v>
      </c>
      <c r="B2625" s="12">
        <f t="shared" si="40"/>
        <v>40725</v>
      </c>
      <c r="C2625">
        <v>1.5721000000000001</v>
      </c>
    </row>
    <row r="2626" spans="1:3" x14ac:dyDescent="0.35">
      <c r="A2626" s="12">
        <v>40737</v>
      </c>
      <c r="B2626" s="12">
        <f t="shared" si="40"/>
        <v>40725</v>
      </c>
      <c r="C2626">
        <v>1.5753999999999999</v>
      </c>
    </row>
    <row r="2627" spans="1:3" x14ac:dyDescent="0.35">
      <c r="A2627" s="12">
        <v>40736</v>
      </c>
      <c r="B2627" s="12">
        <f t="shared" ref="B2627:B2690" si="41">DATE(YEAR(A2627),MONTH(A2627),DAY(1))</f>
        <v>40725</v>
      </c>
      <c r="C2627">
        <v>1.5765</v>
      </c>
    </row>
    <row r="2628" spans="1:3" x14ac:dyDescent="0.35">
      <c r="A2628" s="12">
        <v>40735</v>
      </c>
      <c r="B2628" s="12">
        <f t="shared" si="41"/>
        <v>40725</v>
      </c>
      <c r="C2628">
        <v>1.5788</v>
      </c>
    </row>
    <row r="2629" spans="1:3" x14ac:dyDescent="0.35">
      <c r="A2629" s="12">
        <v>40732</v>
      </c>
      <c r="B2629" s="12">
        <f t="shared" si="41"/>
        <v>40725</v>
      </c>
      <c r="C2629">
        <v>1.5626</v>
      </c>
    </row>
    <row r="2630" spans="1:3" x14ac:dyDescent="0.35">
      <c r="A2630" s="12">
        <v>40731</v>
      </c>
      <c r="B2630" s="12">
        <f t="shared" si="41"/>
        <v>40725</v>
      </c>
      <c r="C2630">
        <v>1.5572999999999999</v>
      </c>
    </row>
    <row r="2631" spans="1:3" x14ac:dyDescent="0.35">
      <c r="A2631" s="12">
        <v>40730</v>
      </c>
      <c r="B2631" s="12">
        <f t="shared" si="41"/>
        <v>40725</v>
      </c>
      <c r="C2631">
        <v>1.5653999999999999</v>
      </c>
    </row>
    <row r="2632" spans="1:3" x14ac:dyDescent="0.35">
      <c r="A2632" s="12">
        <v>40729</v>
      </c>
      <c r="B2632" s="12">
        <f t="shared" si="41"/>
        <v>40725</v>
      </c>
      <c r="C2632">
        <v>1.5629</v>
      </c>
    </row>
    <row r="2633" spans="1:3" x14ac:dyDescent="0.35">
      <c r="A2633" s="12">
        <v>40728</v>
      </c>
      <c r="B2633" s="12">
        <f t="shared" si="41"/>
        <v>40725</v>
      </c>
      <c r="C2633">
        <v>1.5571999999999999</v>
      </c>
    </row>
    <row r="2634" spans="1:3" x14ac:dyDescent="0.35">
      <c r="A2634" s="12">
        <v>40725</v>
      </c>
      <c r="B2634" s="12">
        <f t="shared" si="41"/>
        <v>40725</v>
      </c>
      <c r="C2634">
        <v>1.5590999999999999</v>
      </c>
    </row>
    <row r="2635" spans="1:3" x14ac:dyDescent="0.35">
      <c r="A2635" s="12">
        <v>40724</v>
      </c>
      <c r="B2635" s="12">
        <f t="shared" si="41"/>
        <v>40695</v>
      </c>
      <c r="C2635">
        <v>1.5603</v>
      </c>
    </row>
    <row r="2636" spans="1:3" x14ac:dyDescent="0.35">
      <c r="A2636" s="12">
        <v>40723</v>
      </c>
      <c r="B2636" s="12">
        <f t="shared" si="41"/>
        <v>40695</v>
      </c>
      <c r="C2636">
        <v>1.5722</v>
      </c>
    </row>
    <row r="2637" spans="1:3" x14ac:dyDescent="0.35">
      <c r="A2637" s="12">
        <v>40722</v>
      </c>
      <c r="B2637" s="12">
        <f t="shared" si="41"/>
        <v>40695</v>
      </c>
      <c r="C2637">
        <v>1.5825</v>
      </c>
    </row>
    <row r="2638" spans="1:3" x14ac:dyDescent="0.35">
      <c r="A2638" s="12">
        <v>40721</v>
      </c>
      <c r="B2638" s="12">
        <f t="shared" si="41"/>
        <v>40695</v>
      </c>
      <c r="C2638">
        <v>1.5961000000000001</v>
      </c>
    </row>
    <row r="2639" spans="1:3" x14ac:dyDescent="0.35">
      <c r="A2639" s="12">
        <v>40718</v>
      </c>
      <c r="B2639" s="12">
        <f t="shared" si="41"/>
        <v>40695</v>
      </c>
      <c r="C2639">
        <v>1.5980000000000001</v>
      </c>
    </row>
    <row r="2640" spans="1:3" x14ac:dyDescent="0.35">
      <c r="A2640" s="12">
        <v>40716</v>
      </c>
      <c r="B2640" s="12">
        <f t="shared" si="41"/>
        <v>40695</v>
      </c>
      <c r="C2640">
        <v>1.5869</v>
      </c>
    </row>
    <row r="2641" spans="1:3" x14ac:dyDescent="0.35">
      <c r="A2641" s="12">
        <v>40715</v>
      </c>
      <c r="B2641" s="12">
        <f t="shared" si="41"/>
        <v>40695</v>
      </c>
      <c r="C2641">
        <v>1.5902000000000001</v>
      </c>
    </row>
    <row r="2642" spans="1:3" x14ac:dyDescent="0.35">
      <c r="A2642" s="12">
        <v>40714</v>
      </c>
      <c r="B2642" s="12">
        <f t="shared" si="41"/>
        <v>40695</v>
      </c>
      <c r="C2642">
        <v>1.5961000000000001</v>
      </c>
    </row>
    <row r="2643" spans="1:3" x14ac:dyDescent="0.35">
      <c r="A2643" s="12">
        <v>40711</v>
      </c>
      <c r="B2643" s="12">
        <f t="shared" si="41"/>
        <v>40695</v>
      </c>
      <c r="C2643">
        <v>1.5971</v>
      </c>
    </row>
    <row r="2644" spans="1:3" x14ac:dyDescent="0.35">
      <c r="A2644" s="12">
        <v>40710</v>
      </c>
      <c r="B2644" s="12">
        <f t="shared" si="41"/>
        <v>40695</v>
      </c>
      <c r="C2644">
        <v>1.61</v>
      </c>
    </row>
    <row r="2645" spans="1:3" x14ac:dyDescent="0.35">
      <c r="A2645" s="12">
        <v>40709</v>
      </c>
      <c r="B2645" s="12">
        <f t="shared" si="41"/>
        <v>40695</v>
      </c>
      <c r="C2645">
        <v>1.5952</v>
      </c>
    </row>
    <row r="2646" spans="1:3" x14ac:dyDescent="0.35">
      <c r="A2646" s="12">
        <v>40708</v>
      </c>
      <c r="B2646" s="12">
        <f t="shared" si="41"/>
        <v>40695</v>
      </c>
      <c r="C2646">
        <v>1.5812999999999999</v>
      </c>
    </row>
    <row r="2647" spans="1:3" x14ac:dyDescent="0.35">
      <c r="A2647" s="12">
        <v>40707</v>
      </c>
      <c r="B2647" s="12">
        <f t="shared" si="41"/>
        <v>40695</v>
      </c>
      <c r="C2647">
        <v>1.5880000000000001</v>
      </c>
    </row>
    <row r="2648" spans="1:3" x14ac:dyDescent="0.35">
      <c r="A2648" s="12">
        <v>40704</v>
      </c>
      <c r="B2648" s="12">
        <f t="shared" si="41"/>
        <v>40695</v>
      </c>
      <c r="C2648">
        <v>1.593</v>
      </c>
    </row>
    <row r="2649" spans="1:3" x14ac:dyDescent="0.35">
      <c r="A2649" s="12">
        <v>40703</v>
      </c>
      <c r="B2649" s="12">
        <f t="shared" si="41"/>
        <v>40695</v>
      </c>
      <c r="C2649">
        <v>1.5869</v>
      </c>
    </row>
    <row r="2650" spans="1:3" x14ac:dyDescent="0.35">
      <c r="A2650" s="12">
        <v>40702</v>
      </c>
      <c r="B2650" s="12">
        <f t="shared" si="41"/>
        <v>40695</v>
      </c>
      <c r="C2650">
        <v>1.5811999999999999</v>
      </c>
    </row>
    <row r="2651" spans="1:3" x14ac:dyDescent="0.35">
      <c r="A2651" s="12">
        <v>40701</v>
      </c>
      <c r="B2651" s="12">
        <f t="shared" si="41"/>
        <v>40695</v>
      </c>
      <c r="C2651">
        <v>1.5755999999999999</v>
      </c>
    </row>
    <row r="2652" spans="1:3" x14ac:dyDescent="0.35">
      <c r="A2652" s="12">
        <v>40700</v>
      </c>
      <c r="B2652" s="12">
        <f t="shared" si="41"/>
        <v>40695</v>
      </c>
      <c r="C2652">
        <v>1.5802</v>
      </c>
    </row>
    <row r="2653" spans="1:3" x14ac:dyDescent="0.35">
      <c r="A2653" s="12">
        <v>40697</v>
      </c>
      <c r="B2653" s="12">
        <f t="shared" si="41"/>
        <v>40695</v>
      </c>
      <c r="C2653">
        <v>1.5736000000000001</v>
      </c>
    </row>
    <row r="2654" spans="1:3" x14ac:dyDescent="0.35">
      <c r="A2654" s="12">
        <v>40696</v>
      </c>
      <c r="B2654" s="12">
        <f t="shared" si="41"/>
        <v>40695</v>
      </c>
      <c r="C2654">
        <v>1.5797000000000001</v>
      </c>
    </row>
    <row r="2655" spans="1:3" x14ac:dyDescent="0.35">
      <c r="A2655" s="12">
        <v>40695</v>
      </c>
      <c r="B2655" s="12">
        <f t="shared" si="41"/>
        <v>40695</v>
      </c>
      <c r="C2655">
        <v>1.587</v>
      </c>
    </row>
    <row r="2656" spans="1:3" x14ac:dyDescent="0.35">
      <c r="A2656" s="12">
        <v>40694</v>
      </c>
      <c r="B2656" s="12">
        <f t="shared" si="41"/>
        <v>40664</v>
      </c>
      <c r="C2656">
        <v>1.5790999999999999</v>
      </c>
    </row>
    <row r="2657" spans="1:3" x14ac:dyDescent="0.35">
      <c r="A2657" s="12">
        <v>40693</v>
      </c>
      <c r="B2657" s="12">
        <f t="shared" si="41"/>
        <v>40664</v>
      </c>
      <c r="C2657">
        <v>1.595</v>
      </c>
    </row>
    <row r="2658" spans="1:3" x14ac:dyDescent="0.35">
      <c r="A2658" s="12">
        <v>40690</v>
      </c>
      <c r="B2658" s="12">
        <f t="shared" si="41"/>
        <v>40664</v>
      </c>
      <c r="C2658">
        <v>1.603</v>
      </c>
    </row>
    <row r="2659" spans="1:3" x14ac:dyDescent="0.35">
      <c r="A2659" s="12">
        <v>40689</v>
      </c>
      <c r="B2659" s="12">
        <f t="shared" si="41"/>
        <v>40664</v>
      </c>
      <c r="C2659">
        <v>1.6188</v>
      </c>
    </row>
    <row r="2660" spans="1:3" x14ac:dyDescent="0.35">
      <c r="A2660" s="12">
        <v>40688</v>
      </c>
      <c r="B2660" s="12">
        <f t="shared" si="41"/>
        <v>40664</v>
      </c>
      <c r="C2660">
        <v>1.6289</v>
      </c>
    </row>
    <row r="2661" spans="1:3" x14ac:dyDescent="0.35">
      <c r="A2661" s="12">
        <v>40687</v>
      </c>
      <c r="B2661" s="12">
        <f t="shared" si="41"/>
        <v>40664</v>
      </c>
      <c r="C2661">
        <v>1.6248</v>
      </c>
    </row>
    <row r="2662" spans="1:3" x14ac:dyDescent="0.35">
      <c r="A2662" s="12">
        <v>40686</v>
      </c>
      <c r="B2662" s="12">
        <f t="shared" si="41"/>
        <v>40664</v>
      </c>
      <c r="C2662">
        <v>1.6331</v>
      </c>
    </row>
    <row r="2663" spans="1:3" x14ac:dyDescent="0.35">
      <c r="A2663" s="12">
        <v>40683</v>
      </c>
      <c r="B2663" s="12">
        <f t="shared" si="41"/>
        <v>40664</v>
      </c>
      <c r="C2663">
        <v>1.6161000000000001</v>
      </c>
    </row>
    <row r="2664" spans="1:3" x14ac:dyDescent="0.35">
      <c r="A2664" s="12">
        <v>40682</v>
      </c>
      <c r="B2664" s="12">
        <f t="shared" si="41"/>
        <v>40664</v>
      </c>
      <c r="C2664">
        <v>1.6156999999999999</v>
      </c>
    </row>
    <row r="2665" spans="1:3" x14ac:dyDescent="0.35">
      <c r="A2665" s="12">
        <v>40681</v>
      </c>
      <c r="B2665" s="12">
        <f t="shared" si="41"/>
        <v>40664</v>
      </c>
      <c r="C2665">
        <v>1.6157999999999999</v>
      </c>
    </row>
    <row r="2666" spans="1:3" x14ac:dyDescent="0.35">
      <c r="A2666" s="12">
        <v>40680</v>
      </c>
      <c r="B2666" s="12">
        <f t="shared" si="41"/>
        <v>40664</v>
      </c>
      <c r="C2666">
        <v>1.6282000000000001</v>
      </c>
    </row>
    <row r="2667" spans="1:3" x14ac:dyDescent="0.35">
      <c r="A2667" s="12">
        <v>40679</v>
      </c>
      <c r="B2667" s="12">
        <f t="shared" si="41"/>
        <v>40664</v>
      </c>
      <c r="C2667">
        <v>1.6309</v>
      </c>
    </row>
    <row r="2668" spans="1:3" x14ac:dyDescent="0.35">
      <c r="A2668" s="12">
        <v>40676</v>
      </c>
      <c r="B2668" s="12">
        <f t="shared" si="41"/>
        <v>40664</v>
      </c>
      <c r="C2668">
        <v>1.6319999999999999</v>
      </c>
    </row>
    <row r="2669" spans="1:3" x14ac:dyDescent="0.35">
      <c r="A2669" s="12">
        <v>40675</v>
      </c>
      <c r="B2669" s="12">
        <f t="shared" si="41"/>
        <v>40664</v>
      </c>
      <c r="C2669">
        <v>1.6198999999999999</v>
      </c>
    </row>
    <row r="2670" spans="1:3" x14ac:dyDescent="0.35">
      <c r="A2670" s="12">
        <v>40674</v>
      </c>
      <c r="B2670" s="12">
        <f t="shared" si="41"/>
        <v>40664</v>
      </c>
      <c r="C2670">
        <v>1.617</v>
      </c>
    </row>
    <row r="2671" spans="1:3" x14ac:dyDescent="0.35">
      <c r="A2671" s="12">
        <v>40673</v>
      </c>
      <c r="B2671" s="12">
        <f t="shared" si="41"/>
        <v>40664</v>
      </c>
      <c r="C2671">
        <v>1.6061000000000001</v>
      </c>
    </row>
    <row r="2672" spans="1:3" x14ac:dyDescent="0.35">
      <c r="A2672" s="12">
        <v>40672</v>
      </c>
      <c r="B2672" s="12">
        <f t="shared" si="41"/>
        <v>40664</v>
      </c>
      <c r="C2672">
        <v>1.6191</v>
      </c>
    </row>
    <row r="2673" spans="1:3" x14ac:dyDescent="0.35">
      <c r="A2673" s="12">
        <v>40669</v>
      </c>
      <c r="B2673" s="12">
        <f t="shared" si="41"/>
        <v>40664</v>
      </c>
      <c r="C2673">
        <v>1.6103000000000001</v>
      </c>
    </row>
    <row r="2674" spans="1:3" x14ac:dyDescent="0.35">
      <c r="A2674" s="12">
        <v>40668</v>
      </c>
      <c r="B2674" s="12">
        <f t="shared" si="41"/>
        <v>40664</v>
      </c>
      <c r="C2674">
        <v>1.6211</v>
      </c>
    </row>
    <row r="2675" spans="1:3" x14ac:dyDescent="0.35">
      <c r="A2675" s="12">
        <v>40667</v>
      </c>
      <c r="B2675" s="12">
        <f t="shared" si="41"/>
        <v>40664</v>
      </c>
      <c r="C2675">
        <v>1.6022000000000001</v>
      </c>
    </row>
    <row r="2676" spans="1:3" x14ac:dyDescent="0.35">
      <c r="A2676" s="12">
        <v>40666</v>
      </c>
      <c r="B2676" s="12">
        <f t="shared" si="41"/>
        <v>40664</v>
      </c>
      <c r="C2676">
        <v>1.5882000000000001</v>
      </c>
    </row>
    <row r="2677" spans="1:3" x14ac:dyDescent="0.35">
      <c r="A2677" s="12">
        <v>40665</v>
      </c>
      <c r="B2677" s="12">
        <f t="shared" si="41"/>
        <v>40664</v>
      </c>
      <c r="C2677">
        <v>1.5739000000000001</v>
      </c>
    </row>
    <row r="2678" spans="1:3" x14ac:dyDescent="0.35">
      <c r="A2678" s="12">
        <v>40662</v>
      </c>
      <c r="B2678" s="12">
        <f t="shared" si="41"/>
        <v>40634</v>
      </c>
      <c r="C2678">
        <v>1.5725</v>
      </c>
    </row>
    <row r="2679" spans="1:3" x14ac:dyDescent="0.35">
      <c r="A2679" s="12">
        <v>40661</v>
      </c>
      <c r="B2679" s="12">
        <f t="shared" si="41"/>
        <v>40634</v>
      </c>
      <c r="C2679">
        <v>1.5845</v>
      </c>
    </row>
    <row r="2680" spans="1:3" x14ac:dyDescent="0.35">
      <c r="A2680" s="12">
        <v>40660</v>
      </c>
      <c r="B2680" s="12">
        <f t="shared" si="41"/>
        <v>40634</v>
      </c>
      <c r="C2680">
        <v>1.5697000000000001</v>
      </c>
    </row>
    <row r="2681" spans="1:3" x14ac:dyDescent="0.35">
      <c r="A2681" s="12">
        <v>40659</v>
      </c>
      <c r="B2681" s="12">
        <f t="shared" si="41"/>
        <v>40634</v>
      </c>
      <c r="C2681">
        <v>1.5646</v>
      </c>
    </row>
    <row r="2682" spans="1:3" x14ac:dyDescent="0.35">
      <c r="A2682" s="12">
        <v>40658</v>
      </c>
      <c r="B2682" s="12">
        <f t="shared" si="41"/>
        <v>40634</v>
      </c>
      <c r="C2682">
        <v>1.5711999999999999</v>
      </c>
    </row>
    <row r="2683" spans="1:3" x14ac:dyDescent="0.35">
      <c r="A2683" s="12">
        <v>40653</v>
      </c>
      <c r="B2683" s="12">
        <f t="shared" si="41"/>
        <v>40634</v>
      </c>
      <c r="C2683">
        <v>1.5713999999999999</v>
      </c>
    </row>
    <row r="2684" spans="1:3" x14ac:dyDescent="0.35">
      <c r="A2684" s="12">
        <v>40652</v>
      </c>
      <c r="B2684" s="12">
        <f t="shared" si="41"/>
        <v>40634</v>
      </c>
      <c r="C2684">
        <v>1.5784</v>
      </c>
    </row>
    <row r="2685" spans="1:3" x14ac:dyDescent="0.35">
      <c r="A2685" s="12">
        <v>40651</v>
      </c>
      <c r="B2685" s="12">
        <f t="shared" si="41"/>
        <v>40634</v>
      </c>
      <c r="C2685">
        <v>1.5904</v>
      </c>
    </row>
    <row r="2686" spans="1:3" x14ac:dyDescent="0.35">
      <c r="A2686" s="12">
        <v>40648</v>
      </c>
      <c r="B2686" s="12">
        <f t="shared" si="41"/>
        <v>40634</v>
      </c>
      <c r="C2686">
        <v>1.5768</v>
      </c>
    </row>
    <row r="2687" spans="1:3" x14ac:dyDescent="0.35">
      <c r="A2687" s="12">
        <v>40647</v>
      </c>
      <c r="B2687" s="12">
        <f t="shared" si="41"/>
        <v>40634</v>
      </c>
      <c r="C2687">
        <v>1.5833999999999999</v>
      </c>
    </row>
    <row r="2688" spans="1:3" x14ac:dyDescent="0.35">
      <c r="A2688" s="12">
        <v>40646</v>
      </c>
      <c r="B2688" s="12">
        <f t="shared" si="41"/>
        <v>40634</v>
      </c>
      <c r="C2688">
        <v>1.5855999999999999</v>
      </c>
    </row>
    <row r="2689" spans="1:3" x14ac:dyDescent="0.35">
      <c r="A2689" s="12">
        <v>40645</v>
      </c>
      <c r="B2689" s="12">
        <f t="shared" si="41"/>
        <v>40634</v>
      </c>
      <c r="C2689">
        <v>1.5862000000000001</v>
      </c>
    </row>
    <row r="2690" spans="1:3" x14ac:dyDescent="0.35">
      <c r="A2690" s="12">
        <v>40644</v>
      </c>
      <c r="B2690" s="12">
        <f t="shared" si="41"/>
        <v>40634</v>
      </c>
      <c r="C2690">
        <v>1.5797000000000001</v>
      </c>
    </row>
    <row r="2691" spans="1:3" x14ac:dyDescent="0.35">
      <c r="A2691" s="12">
        <v>40641</v>
      </c>
      <c r="B2691" s="12">
        <f t="shared" ref="B2691:B2754" si="42">DATE(YEAR(A2691),MONTH(A2691),DAY(1))</f>
        <v>40634</v>
      </c>
      <c r="C2691">
        <v>1.5753999999999999</v>
      </c>
    </row>
    <row r="2692" spans="1:3" x14ac:dyDescent="0.35">
      <c r="A2692" s="12">
        <v>40640</v>
      </c>
      <c r="B2692" s="12">
        <f t="shared" si="42"/>
        <v>40634</v>
      </c>
      <c r="C2692">
        <v>1.5919000000000001</v>
      </c>
    </row>
    <row r="2693" spans="1:3" x14ac:dyDescent="0.35">
      <c r="A2693" s="12">
        <v>40639</v>
      </c>
      <c r="B2693" s="12">
        <f t="shared" si="42"/>
        <v>40634</v>
      </c>
      <c r="C2693">
        <v>1.6089</v>
      </c>
    </row>
    <row r="2694" spans="1:3" x14ac:dyDescent="0.35">
      <c r="A2694" s="12">
        <v>40638</v>
      </c>
      <c r="B2694" s="12">
        <f t="shared" si="42"/>
        <v>40634</v>
      </c>
      <c r="C2694">
        <v>1.6079000000000001</v>
      </c>
    </row>
    <row r="2695" spans="1:3" x14ac:dyDescent="0.35">
      <c r="A2695" s="12">
        <v>40637</v>
      </c>
      <c r="B2695" s="12">
        <f t="shared" si="42"/>
        <v>40634</v>
      </c>
      <c r="C2695">
        <v>1.6102000000000001</v>
      </c>
    </row>
    <row r="2696" spans="1:3" x14ac:dyDescent="0.35">
      <c r="A2696" s="12">
        <v>40634</v>
      </c>
      <c r="B2696" s="12">
        <f t="shared" si="42"/>
        <v>40634</v>
      </c>
      <c r="C2696">
        <v>1.6186</v>
      </c>
    </row>
    <row r="2697" spans="1:3" x14ac:dyDescent="0.35">
      <c r="A2697" s="12">
        <v>40633</v>
      </c>
      <c r="B2697" s="12">
        <f t="shared" si="42"/>
        <v>40603</v>
      </c>
      <c r="C2697">
        <v>1.6278999999999999</v>
      </c>
    </row>
    <row r="2698" spans="1:3" x14ac:dyDescent="0.35">
      <c r="A2698" s="12">
        <v>40632</v>
      </c>
      <c r="B2698" s="12">
        <f t="shared" si="42"/>
        <v>40603</v>
      </c>
      <c r="C2698">
        <v>1.6352</v>
      </c>
    </row>
    <row r="2699" spans="1:3" x14ac:dyDescent="0.35">
      <c r="A2699" s="12">
        <v>40631</v>
      </c>
      <c r="B2699" s="12">
        <f t="shared" si="42"/>
        <v>40603</v>
      </c>
      <c r="C2699">
        <v>1.6537999999999999</v>
      </c>
    </row>
    <row r="2700" spans="1:3" x14ac:dyDescent="0.35">
      <c r="A2700" s="12">
        <v>40630</v>
      </c>
      <c r="B2700" s="12">
        <f t="shared" si="42"/>
        <v>40603</v>
      </c>
      <c r="C2700">
        <v>1.6606000000000001</v>
      </c>
    </row>
    <row r="2701" spans="1:3" x14ac:dyDescent="0.35">
      <c r="A2701" s="12">
        <v>40627</v>
      </c>
      <c r="B2701" s="12">
        <f t="shared" si="42"/>
        <v>40603</v>
      </c>
      <c r="C2701">
        <v>1.6573</v>
      </c>
    </row>
    <row r="2702" spans="1:3" x14ac:dyDescent="0.35">
      <c r="A2702" s="12">
        <v>40626</v>
      </c>
      <c r="B2702" s="12">
        <f t="shared" si="42"/>
        <v>40603</v>
      </c>
      <c r="C2702">
        <v>1.6585000000000001</v>
      </c>
    </row>
    <row r="2703" spans="1:3" x14ac:dyDescent="0.35">
      <c r="A2703" s="12">
        <v>40625</v>
      </c>
      <c r="B2703" s="12">
        <f t="shared" si="42"/>
        <v>40603</v>
      </c>
      <c r="C2703">
        <v>1.6594</v>
      </c>
    </row>
    <row r="2704" spans="1:3" x14ac:dyDescent="0.35">
      <c r="A2704" s="12">
        <v>40624</v>
      </c>
      <c r="B2704" s="12">
        <f t="shared" si="42"/>
        <v>40603</v>
      </c>
      <c r="C2704">
        <v>1.663</v>
      </c>
    </row>
    <row r="2705" spans="1:3" x14ac:dyDescent="0.35">
      <c r="A2705" s="12">
        <v>40623</v>
      </c>
      <c r="B2705" s="12">
        <f t="shared" si="42"/>
        <v>40603</v>
      </c>
      <c r="C2705">
        <v>1.6644000000000001</v>
      </c>
    </row>
    <row r="2706" spans="1:3" x14ac:dyDescent="0.35">
      <c r="A2706" s="12">
        <v>40620</v>
      </c>
      <c r="B2706" s="12">
        <f t="shared" si="42"/>
        <v>40603</v>
      </c>
      <c r="C2706">
        <v>1.6712</v>
      </c>
    </row>
    <row r="2707" spans="1:3" x14ac:dyDescent="0.35">
      <c r="A2707" s="12">
        <v>40619</v>
      </c>
      <c r="B2707" s="12">
        <f t="shared" si="42"/>
        <v>40603</v>
      </c>
      <c r="C2707">
        <v>1.6749000000000001</v>
      </c>
    </row>
    <row r="2708" spans="1:3" x14ac:dyDescent="0.35">
      <c r="A2708" s="12">
        <v>40618</v>
      </c>
      <c r="B2708" s="12">
        <f t="shared" si="42"/>
        <v>40603</v>
      </c>
      <c r="C2708">
        <v>1.6666000000000001</v>
      </c>
    </row>
    <row r="2709" spans="1:3" x14ac:dyDescent="0.35">
      <c r="A2709" s="12">
        <v>40617</v>
      </c>
      <c r="B2709" s="12">
        <f t="shared" si="42"/>
        <v>40603</v>
      </c>
      <c r="C2709">
        <v>1.6684000000000001</v>
      </c>
    </row>
    <row r="2710" spans="1:3" x14ac:dyDescent="0.35">
      <c r="A2710" s="12">
        <v>40616</v>
      </c>
      <c r="B2710" s="12">
        <f t="shared" si="42"/>
        <v>40603</v>
      </c>
      <c r="C2710">
        <v>1.6623000000000001</v>
      </c>
    </row>
    <row r="2711" spans="1:3" x14ac:dyDescent="0.35">
      <c r="A2711" s="12">
        <v>40613</v>
      </c>
      <c r="B2711" s="12">
        <f t="shared" si="42"/>
        <v>40603</v>
      </c>
      <c r="C2711">
        <v>1.6640999999999999</v>
      </c>
    </row>
    <row r="2712" spans="1:3" x14ac:dyDescent="0.35">
      <c r="A2712" s="12">
        <v>40612</v>
      </c>
      <c r="B2712" s="12">
        <f t="shared" si="42"/>
        <v>40603</v>
      </c>
      <c r="C2712">
        <v>1.6604000000000001</v>
      </c>
    </row>
    <row r="2713" spans="1:3" x14ac:dyDescent="0.35">
      <c r="A2713" s="12">
        <v>40611</v>
      </c>
      <c r="B2713" s="12">
        <f t="shared" si="42"/>
        <v>40603</v>
      </c>
      <c r="C2713">
        <v>1.6551</v>
      </c>
    </row>
    <row r="2714" spans="1:3" x14ac:dyDescent="0.35">
      <c r="A2714" s="12">
        <v>40606</v>
      </c>
      <c r="B2714" s="12">
        <f t="shared" si="42"/>
        <v>40603</v>
      </c>
      <c r="C2714">
        <v>1.6454</v>
      </c>
    </row>
    <row r="2715" spans="1:3" x14ac:dyDescent="0.35">
      <c r="A2715" s="12">
        <v>40605</v>
      </c>
      <c r="B2715" s="12">
        <f t="shared" si="42"/>
        <v>40603</v>
      </c>
      <c r="C2715">
        <v>1.6536999999999999</v>
      </c>
    </row>
    <row r="2716" spans="1:3" x14ac:dyDescent="0.35">
      <c r="A2716" s="12">
        <v>40604</v>
      </c>
      <c r="B2716" s="12">
        <f t="shared" si="42"/>
        <v>40603</v>
      </c>
      <c r="C2716">
        <v>1.6601999999999999</v>
      </c>
    </row>
    <row r="2717" spans="1:3" x14ac:dyDescent="0.35">
      <c r="A2717" s="12">
        <v>40603</v>
      </c>
      <c r="B2717" s="12">
        <f t="shared" si="42"/>
        <v>40603</v>
      </c>
      <c r="C2717">
        <v>1.6618999999999999</v>
      </c>
    </row>
    <row r="2718" spans="1:3" x14ac:dyDescent="0.35">
      <c r="A2718" s="12">
        <v>40602</v>
      </c>
      <c r="B2718" s="12">
        <f t="shared" si="42"/>
        <v>40575</v>
      </c>
      <c r="C2718">
        <v>1.6604000000000001</v>
      </c>
    </row>
    <row r="2719" spans="1:3" x14ac:dyDescent="0.35">
      <c r="A2719" s="12">
        <v>40599</v>
      </c>
      <c r="B2719" s="12">
        <f t="shared" si="42"/>
        <v>40575</v>
      </c>
      <c r="C2719">
        <v>1.6617</v>
      </c>
    </row>
    <row r="2720" spans="1:3" x14ac:dyDescent="0.35">
      <c r="A2720" s="12">
        <v>40598</v>
      </c>
      <c r="B2720" s="12">
        <f t="shared" si="42"/>
        <v>40575</v>
      </c>
      <c r="C2720">
        <v>1.6640999999999999</v>
      </c>
    </row>
    <row r="2721" spans="1:3" x14ac:dyDescent="0.35">
      <c r="A2721" s="12">
        <v>40597</v>
      </c>
      <c r="B2721" s="12">
        <f t="shared" si="42"/>
        <v>40575</v>
      </c>
      <c r="C2721">
        <v>1.6712</v>
      </c>
    </row>
    <row r="2722" spans="1:3" x14ac:dyDescent="0.35">
      <c r="A2722" s="12">
        <v>40596</v>
      </c>
      <c r="B2722" s="12">
        <f t="shared" si="42"/>
        <v>40575</v>
      </c>
      <c r="C2722">
        <v>1.6686000000000001</v>
      </c>
    </row>
    <row r="2723" spans="1:3" x14ac:dyDescent="0.35">
      <c r="A2723" s="12">
        <v>40595</v>
      </c>
      <c r="B2723" s="12">
        <f t="shared" si="42"/>
        <v>40575</v>
      </c>
      <c r="C2723">
        <v>1.6658999999999999</v>
      </c>
    </row>
    <row r="2724" spans="1:3" x14ac:dyDescent="0.35">
      <c r="A2724" s="12">
        <v>40592</v>
      </c>
      <c r="B2724" s="12">
        <f t="shared" si="42"/>
        <v>40575</v>
      </c>
      <c r="C2724">
        <v>1.6669</v>
      </c>
    </row>
    <row r="2725" spans="1:3" x14ac:dyDescent="0.35">
      <c r="A2725" s="12">
        <v>40591</v>
      </c>
      <c r="B2725" s="12">
        <f t="shared" si="42"/>
        <v>40575</v>
      </c>
      <c r="C2725">
        <v>1.6696</v>
      </c>
    </row>
    <row r="2726" spans="1:3" x14ac:dyDescent="0.35">
      <c r="A2726" s="12">
        <v>40590</v>
      </c>
      <c r="B2726" s="12">
        <f t="shared" si="42"/>
        <v>40575</v>
      </c>
      <c r="C2726">
        <v>1.6696</v>
      </c>
    </row>
    <row r="2727" spans="1:3" x14ac:dyDescent="0.35">
      <c r="A2727" s="12">
        <v>40589</v>
      </c>
      <c r="B2727" s="12">
        <f t="shared" si="42"/>
        <v>40575</v>
      </c>
      <c r="C2727">
        <v>1.6674</v>
      </c>
    </row>
    <row r="2728" spans="1:3" x14ac:dyDescent="0.35">
      <c r="A2728" s="12">
        <v>40588</v>
      </c>
      <c r="B2728" s="12">
        <f t="shared" si="42"/>
        <v>40575</v>
      </c>
      <c r="C2728">
        <v>1.6673</v>
      </c>
    </row>
    <row r="2729" spans="1:3" x14ac:dyDescent="0.35">
      <c r="A2729" s="12">
        <v>40585</v>
      </c>
      <c r="B2729" s="12">
        <f t="shared" si="42"/>
        <v>40575</v>
      </c>
      <c r="C2729">
        <v>1.6671</v>
      </c>
    </row>
    <row r="2730" spans="1:3" x14ac:dyDescent="0.35">
      <c r="A2730" s="12">
        <v>40584</v>
      </c>
      <c r="B2730" s="12">
        <f t="shared" si="42"/>
        <v>40575</v>
      </c>
      <c r="C2730">
        <v>1.6672</v>
      </c>
    </row>
    <row r="2731" spans="1:3" x14ac:dyDescent="0.35">
      <c r="A2731" s="12">
        <v>40583</v>
      </c>
      <c r="B2731" s="12">
        <f t="shared" si="42"/>
        <v>40575</v>
      </c>
      <c r="C2731">
        <v>1.6635</v>
      </c>
    </row>
    <row r="2732" spans="1:3" x14ac:dyDescent="0.35">
      <c r="A2732" s="12">
        <v>40582</v>
      </c>
      <c r="B2732" s="12">
        <f t="shared" si="42"/>
        <v>40575</v>
      </c>
      <c r="C2732">
        <v>1.6702999999999999</v>
      </c>
    </row>
    <row r="2733" spans="1:3" x14ac:dyDescent="0.35">
      <c r="A2733" s="12">
        <v>40581</v>
      </c>
      <c r="B2733" s="12">
        <f t="shared" si="42"/>
        <v>40575</v>
      </c>
      <c r="C2733">
        <v>1.6768000000000001</v>
      </c>
    </row>
    <row r="2734" spans="1:3" x14ac:dyDescent="0.35">
      <c r="A2734" s="12">
        <v>40578</v>
      </c>
      <c r="B2734" s="12">
        <f t="shared" si="42"/>
        <v>40575</v>
      </c>
      <c r="C2734">
        <v>1.673</v>
      </c>
    </row>
    <row r="2735" spans="1:3" x14ac:dyDescent="0.35">
      <c r="A2735" s="12">
        <v>40577</v>
      </c>
      <c r="B2735" s="12">
        <f t="shared" si="42"/>
        <v>40575</v>
      </c>
      <c r="C2735">
        <v>1.6689000000000001</v>
      </c>
    </row>
    <row r="2736" spans="1:3" x14ac:dyDescent="0.35">
      <c r="A2736" s="12">
        <v>40576</v>
      </c>
      <c r="B2736" s="12">
        <f t="shared" si="42"/>
        <v>40575</v>
      </c>
      <c r="C2736">
        <v>1.6662999999999999</v>
      </c>
    </row>
    <row r="2737" spans="1:3" x14ac:dyDescent="0.35">
      <c r="A2737" s="12">
        <v>40575</v>
      </c>
      <c r="B2737" s="12">
        <f t="shared" si="42"/>
        <v>40575</v>
      </c>
      <c r="C2737">
        <v>1.6623000000000001</v>
      </c>
    </row>
    <row r="2738" spans="1:3" x14ac:dyDescent="0.35">
      <c r="A2738" s="12">
        <v>40574</v>
      </c>
      <c r="B2738" s="12">
        <f t="shared" si="42"/>
        <v>40544</v>
      </c>
      <c r="C2738">
        <v>1.6726000000000001</v>
      </c>
    </row>
    <row r="2739" spans="1:3" x14ac:dyDescent="0.35">
      <c r="A2739" s="12">
        <v>40571</v>
      </c>
      <c r="B2739" s="12">
        <f t="shared" si="42"/>
        <v>40544</v>
      </c>
      <c r="C2739">
        <v>1.6774</v>
      </c>
    </row>
    <row r="2740" spans="1:3" x14ac:dyDescent="0.35">
      <c r="A2740" s="12">
        <v>40570</v>
      </c>
      <c r="B2740" s="12">
        <f t="shared" si="42"/>
        <v>40544</v>
      </c>
      <c r="C2740">
        <v>1.6712</v>
      </c>
    </row>
    <row r="2741" spans="1:3" x14ac:dyDescent="0.35">
      <c r="A2741" s="12">
        <v>40569</v>
      </c>
      <c r="B2741" s="12">
        <f t="shared" si="42"/>
        <v>40544</v>
      </c>
      <c r="C2741">
        <v>1.6684000000000001</v>
      </c>
    </row>
    <row r="2742" spans="1:3" x14ac:dyDescent="0.35">
      <c r="A2742" s="12">
        <v>40568</v>
      </c>
      <c r="B2742" s="12">
        <f t="shared" si="42"/>
        <v>40544</v>
      </c>
      <c r="C2742">
        <v>1.6737</v>
      </c>
    </row>
    <row r="2743" spans="1:3" x14ac:dyDescent="0.35">
      <c r="A2743" s="12">
        <v>40567</v>
      </c>
      <c r="B2743" s="12">
        <f t="shared" si="42"/>
        <v>40544</v>
      </c>
      <c r="C2743">
        <v>1.6722999999999999</v>
      </c>
    </row>
    <row r="2744" spans="1:3" x14ac:dyDescent="0.35">
      <c r="A2744" s="12">
        <v>40564</v>
      </c>
      <c r="B2744" s="12">
        <f t="shared" si="42"/>
        <v>40544</v>
      </c>
      <c r="C2744">
        <v>1.6715</v>
      </c>
    </row>
    <row r="2745" spans="1:3" x14ac:dyDescent="0.35">
      <c r="A2745" s="12">
        <v>40563</v>
      </c>
      <c r="B2745" s="12">
        <f t="shared" si="42"/>
        <v>40544</v>
      </c>
      <c r="C2745">
        <v>1.6707000000000001</v>
      </c>
    </row>
    <row r="2746" spans="1:3" x14ac:dyDescent="0.35">
      <c r="A2746" s="12">
        <v>40562</v>
      </c>
      <c r="B2746" s="12">
        <f t="shared" si="42"/>
        <v>40544</v>
      </c>
      <c r="C2746">
        <v>1.6706000000000001</v>
      </c>
    </row>
    <row r="2747" spans="1:3" x14ac:dyDescent="0.35">
      <c r="A2747" s="12">
        <v>40561</v>
      </c>
      <c r="B2747" s="12">
        <f t="shared" si="42"/>
        <v>40544</v>
      </c>
      <c r="C2747">
        <v>1.6737</v>
      </c>
    </row>
    <row r="2748" spans="1:3" x14ac:dyDescent="0.35">
      <c r="A2748" s="12">
        <v>40560</v>
      </c>
      <c r="B2748" s="12">
        <f t="shared" si="42"/>
        <v>40544</v>
      </c>
      <c r="C2748">
        <v>1.681</v>
      </c>
    </row>
    <row r="2749" spans="1:3" x14ac:dyDescent="0.35">
      <c r="A2749" s="12">
        <v>40557</v>
      </c>
      <c r="B2749" s="12">
        <f t="shared" si="42"/>
        <v>40544</v>
      </c>
      <c r="C2749">
        <v>1.6835</v>
      </c>
    </row>
    <row r="2750" spans="1:3" x14ac:dyDescent="0.35">
      <c r="A2750" s="12">
        <v>40556</v>
      </c>
      <c r="B2750" s="12">
        <f t="shared" si="42"/>
        <v>40544</v>
      </c>
      <c r="C2750">
        <v>1.6693</v>
      </c>
    </row>
    <row r="2751" spans="1:3" x14ac:dyDescent="0.35">
      <c r="A2751" s="12">
        <v>40555</v>
      </c>
      <c r="B2751" s="12">
        <f t="shared" si="42"/>
        <v>40544</v>
      </c>
      <c r="C2751">
        <v>1.6879</v>
      </c>
    </row>
    <row r="2752" spans="1:3" x14ac:dyDescent="0.35">
      <c r="A2752" s="12">
        <v>40554</v>
      </c>
      <c r="B2752" s="12">
        <f t="shared" si="42"/>
        <v>40544</v>
      </c>
      <c r="C2752">
        <v>1.6879</v>
      </c>
    </row>
    <row r="2753" spans="1:3" x14ac:dyDescent="0.35">
      <c r="A2753" s="12">
        <v>40553</v>
      </c>
      <c r="B2753" s="12">
        <f t="shared" si="42"/>
        <v>40544</v>
      </c>
      <c r="C2753">
        <v>1.6903999999999999</v>
      </c>
    </row>
    <row r="2754" spans="1:3" x14ac:dyDescent="0.35">
      <c r="A2754" s="12">
        <v>40550</v>
      </c>
      <c r="B2754" s="12">
        <f t="shared" si="42"/>
        <v>40544</v>
      </c>
      <c r="C2754">
        <v>1.6853</v>
      </c>
    </row>
    <row r="2755" spans="1:3" x14ac:dyDescent="0.35">
      <c r="A2755" s="12">
        <v>40549</v>
      </c>
      <c r="B2755" s="12">
        <f>DATE(YEAR(A2755),MONTH(A2755),DAY(1))</f>
        <v>40544</v>
      </c>
      <c r="C2755">
        <v>1.6849000000000001</v>
      </c>
    </row>
    <row r="2756" spans="1:3" x14ac:dyDescent="0.35">
      <c r="A2756" s="12">
        <v>40548</v>
      </c>
      <c r="B2756" s="12">
        <f>DATE(YEAR(A2756),MONTH(A2756),DAY(1))</f>
        <v>40544</v>
      </c>
      <c r="C2756">
        <v>1.6705000000000001</v>
      </c>
    </row>
    <row r="2757" spans="1:3" x14ac:dyDescent="0.35">
      <c r="A2757" s="12">
        <v>40547</v>
      </c>
      <c r="B2757" s="12">
        <f>DATE(YEAR(A2757),MONTH(A2757),DAY(1))</f>
        <v>40544</v>
      </c>
      <c r="C2757">
        <v>1.6548</v>
      </c>
    </row>
    <row r="2758" spans="1:3" x14ac:dyDescent="0.35">
      <c r="A2758" s="12">
        <v>40546</v>
      </c>
      <c r="B2758" s="12">
        <f>DATE(YEAR(A2758),MONTH(A2758),DAY(1))</f>
        <v>40544</v>
      </c>
      <c r="C2758">
        <v>1.6501999999999999</v>
      </c>
    </row>
  </sheetData>
  <autoFilter ref="A1:A2758" xr:uid="{E4B206D3-9F1B-4C5D-9240-54B5AA87FF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F635-E19D-45A4-BACD-9840F3A6B133}">
  <dimension ref="A1:O136"/>
  <sheetViews>
    <sheetView zoomScaleNormal="100" workbookViewId="0">
      <selection activeCell="H1" sqref="H1"/>
    </sheetView>
  </sheetViews>
  <sheetFormatPr defaultRowHeight="14.5" x14ac:dyDescent="0.35"/>
  <cols>
    <col min="2" max="2" width="18.08984375" bestFit="1" customWidth="1"/>
    <col min="3" max="3" width="12.6328125" bestFit="1" customWidth="1"/>
    <col min="4" max="4" width="15.26953125" bestFit="1" customWidth="1"/>
    <col min="5" max="5" width="14.453125" bestFit="1" customWidth="1"/>
    <col min="6" max="6" width="20.26953125" bestFit="1" customWidth="1"/>
    <col min="7" max="7" width="18" style="10" bestFit="1" customWidth="1"/>
    <col min="8" max="8" width="19.36328125" style="10" bestFit="1" customWidth="1"/>
    <col min="9" max="15" width="8.7265625" style="10"/>
  </cols>
  <sheetData>
    <row r="1" spans="1:15" x14ac:dyDescent="0.35">
      <c r="B1" s="3" t="s">
        <v>283</v>
      </c>
      <c r="C1" s="3" t="s">
        <v>280</v>
      </c>
      <c r="D1" s="5" t="s">
        <v>7</v>
      </c>
      <c r="E1" s="5" t="s">
        <v>8</v>
      </c>
      <c r="F1" s="5" t="s">
        <v>281</v>
      </c>
      <c r="G1" s="10" t="s">
        <v>288</v>
      </c>
      <c r="H1" s="20" t="s">
        <v>289</v>
      </c>
      <c r="L1" s="10" t="s">
        <v>284</v>
      </c>
      <c r="M1" s="10" t="s">
        <v>285</v>
      </c>
      <c r="N1" s="10" t="s">
        <v>286</v>
      </c>
      <c r="O1" s="10" t="s">
        <v>287</v>
      </c>
    </row>
    <row r="2" spans="1:15" x14ac:dyDescent="0.35">
      <c r="A2" s="13">
        <v>40544</v>
      </c>
      <c r="B2" s="14">
        <f>SUMIF('Dólar Spot'!$B:$B,$A2,'Dólar Spot'!$C:$C)/COUNTIF('Dólar Spot'!$B:$B,$A2)</f>
        <v>1.6746571428571428</v>
      </c>
      <c r="C2" s="7">
        <f>26</f>
        <v>26</v>
      </c>
      <c r="D2" s="7">
        <f>23086</f>
        <v>23086</v>
      </c>
      <c r="E2" s="7">
        <f>D2*B2</f>
        <v>38661.1348</v>
      </c>
      <c r="F2" s="7">
        <f>IFERROR(E2/C2,0)</f>
        <v>1486.966723076923</v>
      </c>
      <c r="G2" s="10">
        <v>0.41379310344827586</v>
      </c>
      <c r="H2" s="10">
        <f>1-G2</f>
        <v>0.5862068965517242</v>
      </c>
      <c r="L2" s="10">
        <v>0.34482758620689657</v>
      </c>
      <c r="M2" s="10">
        <v>6.8965517241379309E-2</v>
      </c>
      <c r="N2" s="10">
        <v>6.8965517241379309E-2</v>
      </c>
      <c r="O2" s="10">
        <v>0.10344827586206896</v>
      </c>
    </row>
    <row r="3" spans="1:15" x14ac:dyDescent="0.35">
      <c r="A3" s="13">
        <v>40575</v>
      </c>
      <c r="B3" s="14">
        <f>SUMIF('Dólar Spot'!$B:$B,$A3,'Dólar Spot'!$C:$C)/COUNTIF('Dólar Spot'!$B:$B,$A3)</f>
        <v>1.6674050000000005</v>
      </c>
      <c r="C3" s="7">
        <f>26</f>
        <v>26</v>
      </c>
      <c r="D3" s="7">
        <f>23086</f>
        <v>23086</v>
      </c>
      <c r="E3" s="7">
        <f>D3*B3</f>
        <v>38493.711830000007</v>
      </c>
      <c r="F3" s="7">
        <f t="shared" ref="F3:F66" si="0">IFERROR(E3/C3,0)</f>
        <v>1480.5273780769235</v>
      </c>
      <c r="G3" s="10">
        <v>0.41379310344827586</v>
      </c>
      <c r="H3" s="10">
        <f t="shared" ref="H3:H66" si="1">1-G3</f>
        <v>0.5862068965517242</v>
      </c>
      <c r="L3" s="10">
        <v>0.34482758620689657</v>
      </c>
      <c r="M3" s="10">
        <v>6.8965517241379309E-2</v>
      </c>
      <c r="N3" s="10">
        <v>6.8965517241379309E-2</v>
      </c>
      <c r="O3" s="10">
        <v>0.10344827586206896</v>
      </c>
    </row>
    <row r="4" spans="1:15" x14ac:dyDescent="0.35">
      <c r="A4" s="13">
        <v>40603</v>
      </c>
      <c r="B4" s="14">
        <f>SUMIF('Dólar Spot'!$B:$B,$A4,'Dólar Spot'!$C:$C)/COUNTIF('Dólar Spot'!$B:$B,$A4)</f>
        <v>1.6583000000000003</v>
      </c>
      <c r="C4" s="7">
        <f>26</f>
        <v>26</v>
      </c>
      <c r="D4" s="7">
        <f>23086</f>
        <v>23086</v>
      </c>
      <c r="E4" s="7">
        <f>D4*B4</f>
        <v>38283.513800000008</v>
      </c>
      <c r="F4" s="7">
        <f t="shared" si="0"/>
        <v>1472.4428384615387</v>
      </c>
      <c r="G4" s="10">
        <v>0.41379310344827586</v>
      </c>
      <c r="H4" s="10">
        <f t="shared" si="1"/>
        <v>0.5862068965517242</v>
      </c>
      <c r="L4" s="10">
        <v>0.34482758620689657</v>
      </c>
      <c r="M4" s="10">
        <v>6.8965517241379309E-2</v>
      </c>
      <c r="N4" s="10">
        <v>6.8965517241379309E-2</v>
      </c>
      <c r="O4" s="10">
        <v>0.10344827586206896</v>
      </c>
    </row>
    <row r="5" spans="1:15" x14ac:dyDescent="0.35">
      <c r="A5" s="13">
        <v>40634</v>
      </c>
      <c r="B5" s="14">
        <f>SUMIF('Dólar Spot'!$B:$B,$A5,'Dólar Spot'!$C:$C)/COUNTIF('Dólar Spot'!$B:$B,$A5)</f>
        <v>1.5856473684210526</v>
      </c>
      <c r="C5" s="7">
        <f>26</f>
        <v>26</v>
      </c>
      <c r="D5" s="7">
        <f>23086</f>
        <v>23086</v>
      </c>
      <c r="E5" s="7">
        <f t="shared" ref="E5:E66" si="2">D5*B5</f>
        <v>36606.255147368422</v>
      </c>
      <c r="F5" s="7">
        <f t="shared" si="0"/>
        <v>1407.9328902834009</v>
      </c>
      <c r="G5" s="10">
        <v>0.41379310344827586</v>
      </c>
      <c r="H5" s="10">
        <f t="shared" si="1"/>
        <v>0.5862068965517242</v>
      </c>
      <c r="L5" s="10">
        <v>0.34482758620689657</v>
      </c>
      <c r="M5" s="10">
        <v>6.8965517241379309E-2</v>
      </c>
      <c r="N5" s="10">
        <v>6.8965517241379309E-2</v>
      </c>
      <c r="O5" s="10">
        <v>0.10344827586206896</v>
      </c>
    </row>
    <row r="6" spans="1:15" x14ac:dyDescent="0.35">
      <c r="A6" s="13">
        <v>40664</v>
      </c>
      <c r="B6" s="14">
        <f>SUMIF('Dólar Spot'!$B:$B,$A6,'Dólar Spot'!$C:$C)/COUNTIF('Dólar Spot'!$B:$B,$A6)</f>
        <v>1.6126909090909094</v>
      </c>
      <c r="C6" s="7">
        <f>26</f>
        <v>26</v>
      </c>
      <c r="D6" s="7">
        <f>23086</f>
        <v>23086</v>
      </c>
      <c r="E6" s="7">
        <f t="shared" si="2"/>
        <v>37230.582327272736</v>
      </c>
      <c r="F6" s="7">
        <f t="shared" si="0"/>
        <v>1431.9454741258744</v>
      </c>
      <c r="G6" s="10">
        <v>0.41379310344827586</v>
      </c>
      <c r="H6" s="10">
        <f t="shared" si="1"/>
        <v>0.5862068965517242</v>
      </c>
      <c r="L6" s="10">
        <v>0.34482758620689657</v>
      </c>
      <c r="M6" s="10">
        <v>6.8965517241379309E-2</v>
      </c>
      <c r="N6" s="10">
        <v>6.8965517241379309E-2</v>
      </c>
      <c r="O6" s="10">
        <v>0.10344827586206896</v>
      </c>
    </row>
    <row r="7" spans="1:15" x14ac:dyDescent="0.35">
      <c r="A7" s="13">
        <v>40695</v>
      </c>
      <c r="B7" s="14">
        <f>SUMIF('Dólar Spot'!$B:$B,$A7,'Dólar Spot'!$C:$C)/COUNTIF('Dólar Spot'!$B:$B,$A7)</f>
        <v>1.5862428571428571</v>
      </c>
      <c r="C7" s="7">
        <f>26</f>
        <v>26</v>
      </c>
      <c r="D7" s="7">
        <f>23086</f>
        <v>23086</v>
      </c>
      <c r="E7" s="7">
        <f t="shared" si="2"/>
        <v>36620.0026</v>
      </c>
      <c r="F7" s="7">
        <f t="shared" si="0"/>
        <v>1408.4616384615385</v>
      </c>
      <c r="G7" s="10">
        <v>0.41379310344827586</v>
      </c>
      <c r="H7" s="10">
        <f t="shared" si="1"/>
        <v>0.5862068965517242</v>
      </c>
      <c r="L7" s="10">
        <v>0.34482758620689657</v>
      </c>
      <c r="M7" s="10">
        <v>6.8965517241379309E-2</v>
      </c>
      <c r="N7" s="10">
        <v>6.8965517241379309E-2</v>
      </c>
      <c r="O7" s="10">
        <v>0.10344827586206896</v>
      </c>
    </row>
    <row r="8" spans="1:15" x14ac:dyDescent="0.35">
      <c r="A8" s="13">
        <v>40725</v>
      </c>
      <c r="B8" s="14">
        <f>SUMIF('Dólar Spot'!$B:$B,$A8,'Dólar Spot'!$C:$C)/COUNTIF('Dólar Spot'!$B:$B,$A8)</f>
        <v>1.5631380952380951</v>
      </c>
      <c r="C8" s="7">
        <f>26</f>
        <v>26</v>
      </c>
      <c r="D8" s="7">
        <f>23086</f>
        <v>23086</v>
      </c>
      <c r="E8" s="7">
        <f t="shared" si="2"/>
        <v>36086.606066666667</v>
      </c>
      <c r="F8" s="7">
        <f t="shared" si="0"/>
        <v>1387.9463871794871</v>
      </c>
      <c r="G8" s="10">
        <v>0.41379310344827586</v>
      </c>
      <c r="H8" s="10">
        <f t="shared" si="1"/>
        <v>0.5862068965517242</v>
      </c>
      <c r="L8" s="10">
        <v>0.34482758620689657</v>
      </c>
      <c r="M8" s="10">
        <v>6.8965517241379309E-2</v>
      </c>
      <c r="N8" s="10">
        <v>6.8965517241379309E-2</v>
      </c>
      <c r="O8" s="10">
        <v>0.10344827586206896</v>
      </c>
    </row>
    <row r="9" spans="1:15" x14ac:dyDescent="0.35">
      <c r="A9" s="13">
        <v>40756</v>
      </c>
      <c r="B9" s="14">
        <f>SUMIF('Dólar Spot'!$B:$B,$A9,'Dólar Spot'!$C:$C)/COUNTIF('Dólar Spot'!$B:$B,$A9)</f>
        <v>1.5962086956521737</v>
      </c>
      <c r="C9" s="7">
        <f>26</f>
        <v>26</v>
      </c>
      <c r="D9" s="7">
        <f>23086</f>
        <v>23086</v>
      </c>
      <c r="E9" s="7">
        <f t="shared" si="2"/>
        <v>36850.07394782608</v>
      </c>
      <c r="F9" s="7">
        <f t="shared" si="0"/>
        <v>1417.3105364548492</v>
      </c>
      <c r="G9" s="10">
        <v>0.41379310344827586</v>
      </c>
      <c r="H9" s="10">
        <f t="shared" si="1"/>
        <v>0.5862068965517242</v>
      </c>
      <c r="L9" s="10">
        <v>0.34482758620689657</v>
      </c>
      <c r="M9" s="10">
        <v>6.8965517241379309E-2</v>
      </c>
      <c r="N9" s="10">
        <v>6.8965517241379309E-2</v>
      </c>
      <c r="O9" s="10">
        <v>0.10344827586206896</v>
      </c>
    </row>
    <row r="10" spans="1:15" x14ac:dyDescent="0.35">
      <c r="A10" s="13">
        <v>40787</v>
      </c>
      <c r="B10" s="14">
        <f>SUMIF('Dólar Spot'!$B:$B,$A10,'Dólar Spot'!$C:$C)/COUNTIF('Dólar Spot'!$B:$B,$A10)</f>
        <v>1.7489761904761907</v>
      </c>
      <c r="C10" s="7">
        <f>26</f>
        <v>26</v>
      </c>
      <c r="D10" s="7">
        <f>23086</f>
        <v>23086</v>
      </c>
      <c r="E10" s="7">
        <f t="shared" si="2"/>
        <v>40376.864333333338</v>
      </c>
      <c r="F10" s="7">
        <f t="shared" si="0"/>
        <v>1552.9563205128206</v>
      </c>
      <c r="G10" s="10">
        <v>0.41379310344827586</v>
      </c>
      <c r="H10" s="10">
        <f t="shared" si="1"/>
        <v>0.5862068965517242</v>
      </c>
      <c r="L10" s="10">
        <v>0.34482758620689657</v>
      </c>
      <c r="M10" s="10">
        <v>6.8965517241379309E-2</v>
      </c>
      <c r="N10" s="10">
        <v>6.8965517241379309E-2</v>
      </c>
      <c r="O10" s="10">
        <v>0.10344827586206896</v>
      </c>
    </row>
    <row r="11" spans="1:15" x14ac:dyDescent="0.35">
      <c r="A11" s="13">
        <v>40817</v>
      </c>
      <c r="B11" s="14">
        <f>SUMIF('Dólar Spot'!$B:$B,$A11,'Dólar Spot'!$C:$C)/COUNTIF('Dólar Spot'!$B:$B,$A11)</f>
        <v>1.7718699999999998</v>
      </c>
      <c r="C11" s="7">
        <f>26</f>
        <v>26</v>
      </c>
      <c r="D11" s="7">
        <f>23086</f>
        <v>23086</v>
      </c>
      <c r="E11" s="7">
        <f t="shared" si="2"/>
        <v>40905.390819999993</v>
      </c>
      <c r="F11" s="7">
        <f t="shared" si="0"/>
        <v>1573.284262307692</v>
      </c>
      <c r="G11" s="10">
        <v>0.41379310344827586</v>
      </c>
      <c r="H11" s="10">
        <f t="shared" si="1"/>
        <v>0.5862068965517242</v>
      </c>
      <c r="L11" s="10">
        <v>0.34482758620689657</v>
      </c>
      <c r="M11" s="10">
        <v>6.8965517241379309E-2</v>
      </c>
      <c r="N11" s="10">
        <v>6.8965517241379309E-2</v>
      </c>
      <c r="O11" s="10">
        <v>0.10344827586206896</v>
      </c>
    </row>
    <row r="12" spans="1:15" x14ac:dyDescent="0.35">
      <c r="A12" s="13">
        <v>40848</v>
      </c>
      <c r="B12" s="14">
        <f>SUMIF('Dólar Spot'!$B:$B,$A12,'Dólar Spot'!$C:$C)/COUNTIF('Dólar Spot'!$B:$B,$A12)</f>
        <v>1.7897249999999996</v>
      </c>
      <c r="C12" s="7">
        <f>26</f>
        <v>26</v>
      </c>
      <c r="D12" s="7">
        <f>23086</f>
        <v>23086</v>
      </c>
      <c r="E12" s="7">
        <f t="shared" si="2"/>
        <v>41317.591349999988</v>
      </c>
      <c r="F12" s="7">
        <f t="shared" si="0"/>
        <v>1589.1381288461534</v>
      </c>
      <c r="G12" s="10">
        <v>0.41379310344827586</v>
      </c>
      <c r="H12" s="10">
        <f t="shared" si="1"/>
        <v>0.5862068965517242</v>
      </c>
      <c r="L12" s="10">
        <v>0.34482758620689657</v>
      </c>
      <c r="M12" s="10">
        <v>6.8965517241379309E-2</v>
      </c>
      <c r="N12" s="10">
        <v>6.8965517241379309E-2</v>
      </c>
      <c r="O12" s="10">
        <v>0.10344827586206896</v>
      </c>
    </row>
    <row r="13" spans="1:15" s="19" customFormat="1" ht="15" thickBot="1" x14ac:dyDescent="0.4">
      <c r="A13" s="15">
        <v>40878</v>
      </c>
      <c r="B13" s="16">
        <f>SUMIF('Dólar Spot'!$B:$B,$A13,'Dólar Spot'!$C:$C)/COUNTIF('Dólar Spot'!$B:$B,$A13)</f>
        <v>1.8343380952380954</v>
      </c>
      <c r="C13" s="17">
        <f>26</f>
        <v>26</v>
      </c>
      <c r="D13" s="17">
        <f>23086</f>
        <v>23086</v>
      </c>
      <c r="E13" s="17">
        <f t="shared" si="2"/>
        <v>42347.529266666672</v>
      </c>
      <c r="F13" s="17">
        <f t="shared" si="0"/>
        <v>1628.7511256410257</v>
      </c>
      <c r="G13" s="18">
        <v>0.41379310344827586</v>
      </c>
      <c r="H13" s="18">
        <f t="shared" si="1"/>
        <v>0.5862068965517242</v>
      </c>
      <c r="I13" s="18"/>
      <c r="J13" s="18"/>
      <c r="K13" s="18"/>
      <c r="L13" s="18">
        <v>0.34482758620689657</v>
      </c>
      <c r="M13" s="18">
        <v>6.8965517241379309E-2</v>
      </c>
      <c r="N13" s="18">
        <v>6.8965517241379309E-2</v>
      </c>
      <c r="O13" s="18">
        <v>0.10344827586206896</v>
      </c>
    </row>
    <row r="14" spans="1:15" x14ac:dyDescent="0.35">
      <c r="A14" s="13">
        <v>40909</v>
      </c>
      <c r="B14" s="14">
        <f>SUMIF('Dólar Spot'!$B:$B,$A14,'Dólar Spot'!$C:$C)/COUNTIF('Dólar Spot'!$B:$B,$A14)</f>
        <v>1.7890136363636366</v>
      </c>
      <c r="C14" s="7">
        <f>37</f>
        <v>37</v>
      </c>
      <c r="D14" s="7">
        <f>29770</f>
        <v>29770</v>
      </c>
      <c r="E14" s="7">
        <f t="shared" si="2"/>
        <v>53258.935954545464</v>
      </c>
      <c r="F14" s="7">
        <f t="shared" si="0"/>
        <v>1439.4307014742017</v>
      </c>
      <c r="G14" s="10">
        <v>0.18309859154929578</v>
      </c>
      <c r="H14" s="10">
        <f t="shared" si="1"/>
        <v>0.81690140845070425</v>
      </c>
      <c r="L14" s="10">
        <v>0.53521126760563376</v>
      </c>
      <c r="M14" s="10">
        <v>9.8591549295774641E-2</v>
      </c>
      <c r="N14" s="10">
        <v>9.8591549295774641E-2</v>
      </c>
      <c r="O14" s="10">
        <v>8.4507042253521125E-2</v>
      </c>
    </row>
    <row r="15" spans="1:15" x14ac:dyDescent="0.35">
      <c r="A15" s="13">
        <v>40940</v>
      </c>
      <c r="B15" s="14">
        <f>SUMIF('Dólar Spot'!$B:$B,$A15,'Dólar Spot'!$C:$C)/COUNTIF('Dólar Spot'!$B:$B,$A15)</f>
        <v>1.7177578947368422</v>
      </c>
      <c r="C15" s="7">
        <f>37</f>
        <v>37</v>
      </c>
      <c r="D15" s="7">
        <f>29770</f>
        <v>29770</v>
      </c>
      <c r="E15" s="7">
        <f t="shared" si="2"/>
        <v>51137.652526315789</v>
      </c>
      <c r="F15" s="7">
        <f t="shared" si="0"/>
        <v>1382.0987169274538</v>
      </c>
      <c r="G15" s="10">
        <v>0.18309859154929578</v>
      </c>
      <c r="H15" s="10">
        <f t="shared" si="1"/>
        <v>0.81690140845070425</v>
      </c>
      <c r="L15" s="10">
        <v>0.53521126760563376</v>
      </c>
      <c r="M15" s="10">
        <v>9.8591549295774641E-2</v>
      </c>
      <c r="N15" s="10">
        <v>9.8591549295774641E-2</v>
      </c>
      <c r="O15" s="10">
        <v>8.4507042253521125E-2</v>
      </c>
    </row>
    <row r="16" spans="1:15" x14ac:dyDescent="0.35">
      <c r="A16" s="13">
        <v>40969</v>
      </c>
      <c r="B16" s="14">
        <f>SUMIF('Dólar Spot'!$B:$B,$A16,'Dólar Spot'!$C:$C)/COUNTIF('Dólar Spot'!$B:$B,$A16)</f>
        <v>1.7947000000000004</v>
      </c>
      <c r="C16" s="7">
        <f>37</f>
        <v>37</v>
      </c>
      <c r="D16" s="7">
        <f>29770</f>
        <v>29770</v>
      </c>
      <c r="E16" s="7">
        <f t="shared" si="2"/>
        <v>53428.219000000012</v>
      </c>
      <c r="F16" s="7">
        <f t="shared" si="0"/>
        <v>1444.0059189189192</v>
      </c>
      <c r="G16" s="10">
        <v>0.18309859154929578</v>
      </c>
      <c r="H16" s="10">
        <f t="shared" si="1"/>
        <v>0.81690140845070425</v>
      </c>
      <c r="L16" s="10">
        <v>0.53521126760563376</v>
      </c>
      <c r="M16" s="10">
        <v>9.8591549295774641E-2</v>
      </c>
      <c r="N16" s="10">
        <v>9.8591549295774641E-2</v>
      </c>
      <c r="O16" s="10">
        <v>8.4507042253521125E-2</v>
      </c>
    </row>
    <row r="17" spans="1:15" x14ac:dyDescent="0.35">
      <c r="A17" s="13">
        <v>41000</v>
      </c>
      <c r="B17" s="14">
        <f>SUMIF('Dólar Spot'!$B:$B,$A17,'Dólar Spot'!$C:$C)/COUNTIF('Dólar Spot'!$B:$B,$A17)</f>
        <v>1.8542250000000002</v>
      </c>
      <c r="C17" s="7">
        <f>37</f>
        <v>37</v>
      </c>
      <c r="D17" s="7">
        <f>29770</f>
        <v>29770</v>
      </c>
      <c r="E17" s="7">
        <f t="shared" si="2"/>
        <v>55200.27825000001</v>
      </c>
      <c r="F17" s="7">
        <f t="shared" si="0"/>
        <v>1491.8994121621624</v>
      </c>
      <c r="G17" s="10">
        <v>0.18309859154929578</v>
      </c>
      <c r="H17" s="10">
        <f t="shared" si="1"/>
        <v>0.81690140845070425</v>
      </c>
      <c r="L17" s="10">
        <v>0.53521126760563376</v>
      </c>
      <c r="M17" s="10">
        <v>9.8591549295774641E-2</v>
      </c>
      <c r="N17" s="10">
        <v>9.8591549295774641E-2</v>
      </c>
      <c r="O17" s="10">
        <v>8.4507042253521125E-2</v>
      </c>
    </row>
    <row r="18" spans="1:15" x14ac:dyDescent="0.35">
      <c r="A18" s="13">
        <v>41030</v>
      </c>
      <c r="B18" s="14">
        <f>SUMIF('Dólar Spot'!$B:$B,$A18,'Dólar Spot'!$C:$C)/COUNTIF('Dólar Spot'!$B:$B,$A18)</f>
        <v>1.985386363636364</v>
      </c>
      <c r="C18" s="7">
        <f>37</f>
        <v>37</v>
      </c>
      <c r="D18" s="7">
        <f>29770</f>
        <v>29770</v>
      </c>
      <c r="E18" s="7">
        <f t="shared" si="2"/>
        <v>59104.952045454556</v>
      </c>
      <c r="F18" s="7">
        <f t="shared" si="0"/>
        <v>1597.4311363636366</v>
      </c>
      <c r="G18" s="10">
        <v>0.18309859154929578</v>
      </c>
      <c r="H18" s="10">
        <f t="shared" si="1"/>
        <v>0.81690140845070425</v>
      </c>
      <c r="L18" s="10">
        <v>0.53521126760563376</v>
      </c>
      <c r="M18" s="10">
        <v>9.8591549295774641E-2</v>
      </c>
      <c r="N18" s="10">
        <v>9.8591549295774641E-2</v>
      </c>
      <c r="O18" s="10">
        <v>8.4507042253521125E-2</v>
      </c>
    </row>
    <row r="19" spans="1:15" x14ac:dyDescent="0.35">
      <c r="A19" s="13">
        <v>41061</v>
      </c>
      <c r="B19" s="14">
        <f>SUMIF('Dólar Spot'!$B:$B,$A19,'Dólar Spot'!$C:$C)/COUNTIF('Dólar Spot'!$B:$B,$A19)</f>
        <v>2.0485699999999998</v>
      </c>
      <c r="C19" s="7">
        <f>37</f>
        <v>37</v>
      </c>
      <c r="D19" s="7">
        <f>29770</f>
        <v>29770</v>
      </c>
      <c r="E19" s="7">
        <f t="shared" si="2"/>
        <v>60985.928899999992</v>
      </c>
      <c r="F19" s="7">
        <f t="shared" si="0"/>
        <v>1648.2683486486485</v>
      </c>
      <c r="G19" s="10">
        <v>0.18309859154929578</v>
      </c>
      <c r="H19" s="10">
        <f t="shared" si="1"/>
        <v>0.81690140845070425</v>
      </c>
      <c r="L19" s="10">
        <v>0.53521126760563376</v>
      </c>
      <c r="M19" s="10">
        <v>9.8591549295774641E-2</v>
      </c>
      <c r="N19" s="10">
        <v>9.8591549295774641E-2</v>
      </c>
      <c r="O19" s="10">
        <v>8.4507042253521125E-2</v>
      </c>
    </row>
    <row r="20" spans="1:15" x14ac:dyDescent="0.35">
      <c r="A20" s="13">
        <v>41091</v>
      </c>
      <c r="B20" s="14">
        <f>SUMIF('Dólar Spot'!$B:$B,$A20,'Dólar Spot'!$C:$C)/COUNTIF('Dólar Spot'!$B:$B,$A20)</f>
        <v>2.0278500000000004</v>
      </c>
      <c r="C20" s="7">
        <f>37</f>
        <v>37</v>
      </c>
      <c r="D20" s="7">
        <f>29770</f>
        <v>29770</v>
      </c>
      <c r="E20" s="7">
        <f t="shared" si="2"/>
        <v>60369.094500000014</v>
      </c>
      <c r="F20" s="7">
        <f t="shared" si="0"/>
        <v>1631.597148648649</v>
      </c>
      <c r="G20" s="10">
        <v>0.18309859154929578</v>
      </c>
      <c r="H20" s="10">
        <f t="shared" si="1"/>
        <v>0.81690140845070425</v>
      </c>
      <c r="L20" s="10">
        <v>0.53521126760563376</v>
      </c>
      <c r="M20" s="10">
        <v>9.8591549295774641E-2</v>
      </c>
      <c r="N20" s="10">
        <v>9.8591549295774641E-2</v>
      </c>
      <c r="O20" s="10">
        <v>8.4507042253521125E-2</v>
      </c>
    </row>
    <row r="21" spans="1:15" x14ac:dyDescent="0.35">
      <c r="A21" s="13">
        <v>41122</v>
      </c>
      <c r="B21" s="14">
        <f>SUMIF('Dólar Spot'!$B:$B,$A21,'Dólar Spot'!$C:$C)/COUNTIF('Dólar Spot'!$B:$B,$A21)</f>
        <v>2.0288652173913042</v>
      </c>
      <c r="C21" s="7">
        <f>37</f>
        <v>37</v>
      </c>
      <c r="D21" s="7">
        <f>29770</f>
        <v>29770</v>
      </c>
      <c r="E21" s="7">
        <f t="shared" si="2"/>
        <v>60399.317521739125</v>
      </c>
      <c r="F21" s="7">
        <f t="shared" si="0"/>
        <v>1632.4139870740305</v>
      </c>
      <c r="G21" s="10">
        <v>0.18309859154929578</v>
      </c>
      <c r="H21" s="10">
        <f t="shared" si="1"/>
        <v>0.81690140845070425</v>
      </c>
      <c r="L21" s="10">
        <v>0.53521126760563376</v>
      </c>
      <c r="M21" s="10">
        <v>9.8591549295774641E-2</v>
      </c>
      <c r="N21" s="10">
        <v>9.8591549295774641E-2</v>
      </c>
      <c r="O21" s="10">
        <v>8.4507042253521125E-2</v>
      </c>
    </row>
    <row r="22" spans="1:15" x14ac:dyDescent="0.35">
      <c r="A22" s="13">
        <v>41153</v>
      </c>
      <c r="B22" s="14">
        <f>SUMIF('Dólar Spot'!$B:$B,$A22,'Dólar Spot'!$C:$C)/COUNTIF('Dólar Spot'!$B:$B,$A22)</f>
        <v>2.0274999999999999</v>
      </c>
      <c r="C22" s="7">
        <f>37</f>
        <v>37</v>
      </c>
      <c r="D22" s="7">
        <f>29770</f>
        <v>29770</v>
      </c>
      <c r="E22" s="7">
        <f t="shared" si="2"/>
        <v>60358.674999999996</v>
      </c>
      <c r="F22" s="7">
        <f t="shared" si="0"/>
        <v>1631.3155405405405</v>
      </c>
      <c r="G22" s="10">
        <v>0.18309859154929578</v>
      </c>
      <c r="H22" s="10">
        <f t="shared" si="1"/>
        <v>0.81690140845070425</v>
      </c>
      <c r="L22" s="10">
        <v>0.53521126760563376</v>
      </c>
      <c r="M22" s="10">
        <v>9.8591549295774641E-2</v>
      </c>
      <c r="N22" s="10">
        <v>9.8591549295774641E-2</v>
      </c>
      <c r="O22" s="10">
        <v>8.4507042253521125E-2</v>
      </c>
    </row>
    <row r="23" spans="1:15" x14ac:dyDescent="0.35">
      <c r="A23" s="13">
        <v>41183</v>
      </c>
      <c r="B23" s="14">
        <f>SUMIF('Dólar Spot'!$B:$B,$A23,'Dólar Spot'!$C:$C)/COUNTIF('Dólar Spot'!$B:$B,$A23)</f>
        <v>2.0292818181818184</v>
      </c>
      <c r="C23" s="7">
        <f>37</f>
        <v>37</v>
      </c>
      <c r="D23" s="7">
        <f>29770</f>
        <v>29770</v>
      </c>
      <c r="E23" s="7">
        <f t="shared" si="2"/>
        <v>60411.719727272735</v>
      </c>
      <c r="F23" s="7">
        <f t="shared" si="0"/>
        <v>1632.749181818182</v>
      </c>
      <c r="G23" s="10">
        <v>0.18309859154929578</v>
      </c>
      <c r="H23" s="10">
        <f t="shared" si="1"/>
        <v>0.81690140845070425</v>
      </c>
      <c r="L23" s="10">
        <v>0.53521126760563376</v>
      </c>
      <c r="M23" s="10">
        <v>9.8591549295774641E-2</v>
      </c>
      <c r="N23" s="10">
        <v>9.8591549295774641E-2</v>
      </c>
      <c r="O23" s="10">
        <v>8.4507042253521125E-2</v>
      </c>
    </row>
    <row r="24" spans="1:15" x14ac:dyDescent="0.35">
      <c r="A24" s="13">
        <v>41214</v>
      </c>
      <c r="B24" s="14">
        <f>SUMIF('Dólar Spot'!$B:$B,$A24,'Dólar Spot'!$C:$C)/COUNTIF('Dólar Spot'!$B:$B,$A24)</f>
        <v>2.0671949999999999</v>
      </c>
      <c r="C24" s="7">
        <f>37</f>
        <v>37</v>
      </c>
      <c r="D24" s="7">
        <f>29770</f>
        <v>29770</v>
      </c>
      <c r="E24" s="7">
        <f t="shared" si="2"/>
        <v>61540.395149999997</v>
      </c>
      <c r="F24" s="7">
        <f t="shared" si="0"/>
        <v>1663.253922972973</v>
      </c>
      <c r="G24" s="10">
        <v>0.18309859154929578</v>
      </c>
      <c r="H24" s="10">
        <f t="shared" si="1"/>
        <v>0.81690140845070425</v>
      </c>
      <c r="L24" s="10">
        <v>0.53521126760563376</v>
      </c>
      <c r="M24" s="10">
        <v>9.8591549295774641E-2</v>
      </c>
      <c r="N24" s="10">
        <v>9.8591549295774641E-2</v>
      </c>
      <c r="O24" s="10">
        <v>8.4507042253521125E-2</v>
      </c>
    </row>
    <row r="25" spans="1:15" s="19" customFormat="1" ht="15" thickBot="1" x14ac:dyDescent="0.4">
      <c r="A25" s="15">
        <v>41244</v>
      </c>
      <c r="B25" s="16">
        <f>SUMIF('Dólar Spot'!$B:$B,$A25,'Dólar Spot'!$C:$C)/COUNTIF('Dólar Spot'!$B:$B,$A25)</f>
        <v>2.0772400000000002</v>
      </c>
      <c r="C25" s="17">
        <f>37</f>
        <v>37</v>
      </c>
      <c r="D25" s="17">
        <f>29770</f>
        <v>29770</v>
      </c>
      <c r="E25" s="17">
        <f t="shared" si="2"/>
        <v>61839.434800000003</v>
      </c>
      <c r="F25" s="17">
        <f t="shared" si="0"/>
        <v>1671.3360756756758</v>
      </c>
      <c r="G25" s="18">
        <v>0.18309859154929578</v>
      </c>
      <c r="H25" s="18">
        <f t="shared" si="1"/>
        <v>0.81690140845070425</v>
      </c>
      <c r="I25" s="18"/>
      <c r="J25" s="18"/>
      <c r="K25" s="18"/>
      <c r="L25" s="18">
        <v>0.53521126760563376</v>
      </c>
      <c r="M25" s="18">
        <v>9.8591549295774641E-2</v>
      </c>
      <c r="N25" s="18">
        <v>9.8591549295774641E-2</v>
      </c>
      <c r="O25" s="18">
        <v>8.4507042253521125E-2</v>
      </c>
    </row>
    <row r="26" spans="1:15" x14ac:dyDescent="0.35">
      <c r="A26" s="13">
        <v>41275</v>
      </c>
      <c r="B26" s="14">
        <f>SUMIF('Dólar Spot'!$B:$B,$A26,'Dólar Spot'!$C:$C)/COUNTIF('Dólar Spot'!$B:$B,$A26)</f>
        <v>2.0304772727272722</v>
      </c>
      <c r="C26" s="7">
        <f>21</f>
        <v>21</v>
      </c>
      <c r="D26" s="7">
        <f>22253</f>
        <v>22253</v>
      </c>
      <c r="E26" s="7">
        <f t="shared" si="2"/>
        <v>45184.210749999991</v>
      </c>
      <c r="F26" s="7">
        <f t="shared" si="0"/>
        <v>2151.6290833333328</v>
      </c>
      <c r="G26" s="10">
        <v>0.38775510204081631</v>
      </c>
      <c r="H26" s="10">
        <f t="shared" si="1"/>
        <v>0.61224489795918369</v>
      </c>
      <c r="L26" s="10">
        <v>0.48979591836734693</v>
      </c>
      <c r="M26" s="10">
        <v>6.1224489795918366E-2</v>
      </c>
      <c r="N26" s="10">
        <v>2.0408163265306121E-2</v>
      </c>
      <c r="O26" s="10">
        <v>4.0816326530612242E-2</v>
      </c>
    </row>
    <row r="27" spans="1:15" x14ac:dyDescent="0.35">
      <c r="A27" s="13">
        <v>41306</v>
      </c>
      <c r="B27" s="14">
        <f>SUMIF('Dólar Spot'!$B:$B,$A27,'Dólar Spot'!$C:$C)/COUNTIF('Dólar Spot'!$B:$B,$A27)</f>
        <v>1.972677777777778</v>
      </c>
      <c r="C27" s="7">
        <f>21</f>
        <v>21</v>
      </c>
      <c r="D27" s="7">
        <f>22253</f>
        <v>22253</v>
      </c>
      <c r="E27" s="7">
        <f t="shared" si="2"/>
        <v>43897.998588888891</v>
      </c>
      <c r="F27" s="7">
        <f t="shared" si="0"/>
        <v>2090.3808851851854</v>
      </c>
      <c r="G27" s="10">
        <v>0.38775510204081631</v>
      </c>
      <c r="H27" s="10">
        <f t="shared" si="1"/>
        <v>0.61224489795918369</v>
      </c>
      <c r="L27" s="10">
        <v>0.48979591836734693</v>
      </c>
      <c r="M27" s="10">
        <v>6.1224489795918366E-2</v>
      </c>
      <c r="N27" s="10">
        <v>2.0408163265306121E-2</v>
      </c>
      <c r="O27" s="10">
        <v>4.0816326530612242E-2</v>
      </c>
    </row>
    <row r="28" spans="1:15" x14ac:dyDescent="0.35">
      <c r="A28" s="13">
        <v>41334</v>
      </c>
      <c r="B28" s="14">
        <f>SUMIF('Dólar Spot'!$B:$B,$A28,'Dólar Spot'!$C:$C)/COUNTIF('Dólar Spot'!$B:$B,$A28)</f>
        <v>1.9822699999999998</v>
      </c>
      <c r="C28" s="7">
        <f>21</f>
        <v>21</v>
      </c>
      <c r="D28" s="7">
        <f>22253</f>
        <v>22253</v>
      </c>
      <c r="E28" s="7">
        <f t="shared" si="2"/>
        <v>44111.454309999994</v>
      </c>
      <c r="F28" s="7">
        <f t="shared" si="0"/>
        <v>2100.545443333333</v>
      </c>
      <c r="G28" s="10">
        <v>0.38775510204081631</v>
      </c>
      <c r="H28" s="10">
        <f t="shared" si="1"/>
        <v>0.61224489795918369</v>
      </c>
      <c r="L28" s="10">
        <v>0.48979591836734693</v>
      </c>
      <c r="M28" s="10">
        <v>6.1224489795918366E-2</v>
      </c>
      <c r="N28" s="10">
        <v>2.0408163265306121E-2</v>
      </c>
      <c r="O28" s="10">
        <v>4.0816326530612242E-2</v>
      </c>
    </row>
    <row r="29" spans="1:15" x14ac:dyDescent="0.35">
      <c r="A29" s="13">
        <v>41365</v>
      </c>
      <c r="B29" s="14">
        <f>SUMIF('Dólar Spot'!$B:$B,$A29,'Dólar Spot'!$C:$C)/COUNTIF('Dólar Spot'!$B:$B,$A29)</f>
        <v>2.001631818181818</v>
      </c>
      <c r="C29" s="7">
        <f>21</f>
        <v>21</v>
      </c>
      <c r="D29" s="7">
        <f>22253</f>
        <v>22253</v>
      </c>
      <c r="E29" s="7">
        <f t="shared" si="2"/>
        <v>44542.312849999995</v>
      </c>
      <c r="F29" s="7">
        <f t="shared" si="0"/>
        <v>2121.0625166666664</v>
      </c>
      <c r="G29" s="10">
        <v>0.38775510204081631</v>
      </c>
      <c r="H29" s="10">
        <f t="shared" si="1"/>
        <v>0.61224489795918369</v>
      </c>
      <c r="L29" s="10">
        <v>0.48979591836734693</v>
      </c>
      <c r="M29" s="10">
        <v>6.1224489795918366E-2</v>
      </c>
      <c r="N29" s="10">
        <v>2.0408163265306121E-2</v>
      </c>
      <c r="O29" s="10">
        <v>4.0816326530612242E-2</v>
      </c>
    </row>
    <row r="30" spans="1:15" x14ac:dyDescent="0.35">
      <c r="A30" s="13">
        <v>41395</v>
      </c>
      <c r="B30" s="14">
        <f>SUMIF('Dólar Spot'!$B:$B,$A30,'Dólar Spot'!$C:$C)/COUNTIF('Dólar Spot'!$B:$B,$A30)</f>
        <v>2.0342666666666664</v>
      </c>
      <c r="C30" s="7">
        <f>21</f>
        <v>21</v>
      </c>
      <c r="D30" s="7">
        <f>22253</f>
        <v>22253</v>
      </c>
      <c r="E30" s="7">
        <f t="shared" si="2"/>
        <v>45268.536133333328</v>
      </c>
      <c r="F30" s="7">
        <f t="shared" si="0"/>
        <v>2155.6445777777776</v>
      </c>
      <c r="G30" s="10">
        <v>0.38775510204081631</v>
      </c>
      <c r="H30" s="10">
        <f t="shared" si="1"/>
        <v>0.61224489795918369</v>
      </c>
      <c r="L30" s="10">
        <v>0.48979591836734693</v>
      </c>
      <c r="M30" s="10">
        <v>6.1224489795918366E-2</v>
      </c>
      <c r="N30" s="10">
        <v>2.0408163265306121E-2</v>
      </c>
      <c r="O30" s="10">
        <v>4.0816326530612242E-2</v>
      </c>
    </row>
    <row r="31" spans="1:15" x14ac:dyDescent="0.35">
      <c r="A31" s="13">
        <v>41426</v>
      </c>
      <c r="B31" s="14">
        <f>SUMIF('Dólar Spot'!$B:$B,$A31,'Dólar Spot'!$C:$C)/COUNTIF('Dólar Spot'!$B:$B,$A31)</f>
        <v>2.1723750000000002</v>
      </c>
      <c r="C31" s="7">
        <f>21</f>
        <v>21</v>
      </c>
      <c r="D31" s="7">
        <f>22253</f>
        <v>22253</v>
      </c>
      <c r="E31" s="7">
        <f t="shared" si="2"/>
        <v>48341.860875000006</v>
      </c>
      <c r="F31" s="7">
        <f t="shared" si="0"/>
        <v>2301.9933750000005</v>
      </c>
      <c r="G31" s="10">
        <v>0.38775510204081631</v>
      </c>
      <c r="H31" s="10">
        <f t="shared" si="1"/>
        <v>0.61224489795918369</v>
      </c>
      <c r="L31" s="10">
        <v>0.48979591836734693</v>
      </c>
      <c r="M31" s="10">
        <v>6.1224489795918366E-2</v>
      </c>
      <c r="N31" s="10">
        <v>2.0408163265306121E-2</v>
      </c>
      <c r="O31" s="10">
        <v>4.0816326530612242E-2</v>
      </c>
    </row>
    <row r="32" spans="1:15" x14ac:dyDescent="0.35">
      <c r="A32" s="13">
        <v>41456</v>
      </c>
      <c r="B32" s="14">
        <f>SUMIF('Dólar Spot'!$B:$B,$A32,'Dólar Spot'!$C:$C)/COUNTIF('Dólar Spot'!$B:$B,$A32)</f>
        <v>2.2515608695652172</v>
      </c>
      <c r="C32" s="7">
        <f>21</f>
        <v>21</v>
      </c>
      <c r="D32" s="7">
        <f>22253</f>
        <v>22253</v>
      </c>
      <c r="E32" s="7">
        <f t="shared" si="2"/>
        <v>50103.984030434774</v>
      </c>
      <c r="F32" s="7">
        <f t="shared" si="0"/>
        <v>2385.9040014492748</v>
      </c>
      <c r="G32" s="10">
        <v>0.38775510204081631</v>
      </c>
      <c r="H32" s="10">
        <f t="shared" si="1"/>
        <v>0.61224489795918369</v>
      </c>
      <c r="L32" s="10">
        <v>0.48979591836734693</v>
      </c>
      <c r="M32" s="10">
        <v>6.1224489795918366E-2</v>
      </c>
      <c r="N32" s="10">
        <v>2.0408163265306121E-2</v>
      </c>
      <c r="O32" s="10">
        <v>4.0816326530612242E-2</v>
      </c>
    </row>
    <row r="33" spans="1:15" x14ac:dyDescent="0.35">
      <c r="A33" s="13">
        <v>41487</v>
      </c>
      <c r="B33" s="14">
        <f>SUMIF('Dólar Spot'!$B:$B,$A33,'Dólar Spot'!$C:$C)/COUNTIF('Dólar Spot'!$B:$B,$A33)</f>
        <v>2.3415954545454536</v>
      </c>
      <c r="C33" s="7">
        <f>21</f>
        <v>21</v>
      </c>
      <c r="D33" s="7">
        <f>22253</f>
        <v>22253</v>
      </c>
      <c r="E33" s="7">
        <f t="shared" si="2"/>
        <v>52107.523649999981</v>
      </c>
      <c r="F33" s="7">
        <f t="shared" si="0"/>
        <v>2481.310649999999</v>
      </c>
      <c r="G33" s="10">
        <v>0.38775510204081631</v>
      </c>
      <c r="H33" s="10">
        <f t="shared" si="1"/>
        <v>0.61224489795918369</v>
      </c>
      <c r="L33" s="10">
        <v>0.48979591836734693</v>
      </c>
      <c r="M33" s="10">
        <v>6.1224489795918366E-2</v>
      </c>
      <c r="N33" s="10">
        <v>2.0408163265306121E-2</v>
      </c>
      <c r="O33" s="10">
        <v>4.0816326530612242E-2</v>
      </c>
    </row>
    <row r="34" spans="1:15" x14ac:dyDescent="0.35">
      <c r="A34" s="13">
        <v>41518</v>
      </c>
      <c r="B34" s="14">
        <f>SUMIF('Dólar Spot'!$B:$B,$A34,'Dólar Spot'!$C:$C)/COUNTIF('Dólar Spot'!$B:$B,$A34)</f>
        <v>2.2698999999999998</v>
      </c>
      <c r="C34" s="7">
        <f>21</f>
        <v>21</v>
      </c>
      <c r="D34" s="7">
        <f>22253</f>
        <v>22253</v>
      </c>
      <c r="E34" s="7">
        <f t="shared" si="2"/>
        <v>50512.084699999992</v>
      </c>
      <c r="F34" s="7">
        <f t="shared" si="0"/>
        <v>2405.3373666666662</v>
      </c>
      <c r="G34" s="10">
        <v>0.38775510204081631</v>
      </c>
      <c r="H34" s="10">
        <f t="shared" si="1"/>
        <v>0.61224489795918369</v>
      </c>
      <c r="L34" s="10">
        <v>0.48979591836734693</v>
      </c>
      <c r="M34" s="10">
        <v>6.1224489795918366E-2</v>
      </c>
      <c r="N34" s="10">
        <v>2.0408163265306121E-2</v>
      </c>
      <c r="O34" s="10">
        <v>4.0816326530612242E-2</v>
      </c>
    </row>
    <row r="35" spans="1:15" x14ac:dyDescent="0.35">
      <c r="A35" s="13">
        <v>41548</v>
      </c>
      <c r="B35" s="14">
        <f>SUMIF('Dólar Spot'!$B:$B,$A35,'Dólar Spot'!$C:$C)/COUNTIF('Dólar Spot'!$B:$B,$A35)</f>
        <v>2.188056521739131</v>
      </c>
      <c r="C35" s="7">
        <f>21</f>
        <v>21</v>
      </c>
      <c r="D35" s="7">
        <f>22253</f>
        <v>22253</v>
      </c>
      <c r="E35" s="7">
        <f t="shared" si="2"/>
        <v>48690.821778260884</v>
      </c>
      <c r="F35" s="7">
        <f t="shared" si="0"/>
        <v>2318.6105608695661</v>
      </c>
      <c r="G35" s="10">
        <v>0.38775510204081631</v>
      </c>
      <c r="H35" s="10">
        <f t="shared" si="1"/>
        <v>0.61224489795918369</v>
      </c>
      <c r="L35" s="10">
        <v>0.48979591836734693</v>
      </c>
      <c r="M35" s="10">
        <v>6.1224489795918366E-2</v>
      </c>
      <c r="N35" s="10">
        <v>2.0408163265306121E-2</v>
      </c>
      <c r="O35" s="10">
        <v>4.0816326530612242E-2</v>
      </c>
    </row>
    <row r="36" spans="1:15" x14ac:dyDescent="0.35">
      <c r="A36" s="13">
        <v>41579</v>
      </c>
      <c r="B36" s="14">
        <f>SUMIF('Dólar Spot'!$B:$B,$A36,'Dólar Spot'!$C:$C)/COUNTIF('Dólar Spot'!$B:$B,$A36)</f>
        <v>2.2947099999999998</v>
      </c>
      <c r="C36" s="7">
        <f>21</f>
        <v>21</v>
      </c>
      <c r="D36" s="7">
        <f>22253</f>
        <v>22253</v>
      </c>
      <c r="E36" s="7">
        <f t="shared" si="2"/>
        <v>51064.181629999999</v>
      </c>
      <c r="F36" s="7">
        <f t="shared" si="0"/>
        <v>2431.6276966666665</v>
      </c>
      <c r="G36" s="10">
        <v>0.38775510204081631</v>
      </c>
      <c r="H36" s="10">
        <f t="shared" si="1"/>
        <v>0.61224489795918369</v>
      </c>
      <c r="L36" s="10">
        <v>0.48979591836734693</v>
      </c>
      <c r="M36" s="10">
        <v>6.1224489795918366E-2</v>
      </c>
      <c r="N36" s="10">
        <v>2.0408163265306121E-2</v>
      </c>
      <c r="O36" s="10">
        <v>4.0816326530612242E-2</v>
      </c>
    </row>
    <row r="37" spans="1:15" s="19" customFormat="1" ht="15" thickBot="1" x14ac:dyDescent="0.4">
      <c r="A37" s="15">
        <v>41609</v>
      </c>
      <c r="B37" s="16">
        <f>SUMIF('Dólar Spot'!$B:$B,$A37,'Dólar Spot'!$C:$C)/COUNTIF('Dólar Spot'!$B:$B,$A37)</f>
        <v>2.3448904761904763</v>
      </c>
      <c r="C37" s="17">
        <f>21</f>
        <v>21</v>
      </c>
      <c r="D37" s="17">
        <f>22253</f>
        <v>22253</v>
      </c>
      <c r="E37" s="17">
        <f t="shared" si="2"/>
        <v>52180.847766666666</v>
      </c>
      <c r="F37" s="17">
        <f t="shared" si="0"/>
        <v>2484.8022746031747</v>
      </c>
      <c r="G37" s="18">
        <v>0.38775510204081631</v>
      </c>
      <c r="H37" s="18">
        <f t="shared" si="1"/>
        <v>0.61224489795918369</v>
      </c>
      <c r="I37" s="18"/>
      <c r="J37" s="18"/>
      <c r="K37" s="18"/>
      <c r="L37" s="18">
        <v>0.48979591836734693</v>
      </c>
      <c r="M37" s="18">
        <v>6.1224489795918366E-2</v>
      </c>
      <c r="N37" s="18">
        <v>2.0408163265306121E-2</v>
      </c>
      <c r="O37" s="18">
        <v>4.0816326530612242E-2</v>
      </c>
    </row>
    <row r="38" spans="1:15" x14ac:dyDescent="0.35">
      <c r="A38" s="13">
        <v>41640</v>
      </c>
      <c r="B38" s="14">
        <f>SUMIF('Dólar Spot'!$B:$B,$A38,'Dólar Spot'!$C:$C)/COUNTIF('Dólar Spot'!$B:$B,$A38)</f>
        <v>2.3816045454545458</v>
      </c>
      <c r="C38" s="7">
        <f>31</f>
        <v>31</v>
      </c>
      <c r="D38" s="7">
        <f>27081</f>
        <v>27081</v>
      </c>
      <c r="E38" s="7">
        <f t="shared" si="2"/>
        <v>64496.232695454557</v>
      </c>
      <c r="F38" s="7">
        <f t="shared" si="0"/>
        <v>2080.5236353372438</v>
      </c>
      <c r="G38" s="10">
        <v>0.24074074074074073</v>
      </c>
      <c r="H38" s="10">
        <f t="shared" si="1"/>
        <v>0.7592592592592593</v>
      </c>
      <c r="L38" s="10">
        <v>0.53703703703703709</v>
      </c>
      <c r="M38" s="10">
        <v>5.5555555555555552E-2</v>
      </c>
      <c r="N38" s="10">
        <v>7.407407407407407E-2</v>
      </c>
      <c r="O38" s="10">
        <v>9.2592592592592587E-2</v>
      </c>
    </row>
    <row r="39" spans="1:15" x14ac:dyDescent="0.35">
      <c r="A39" s="13">
        <v>41671</v>
      </c>
      <c r="B39" s="14">
        <f>SUMIF('Dólar Spot'!$B:$B,$A39,'Dólar Spot'!$C:$C)/COUNTIF('Dólar Spot'!$B:$B,$A39)</f>
        <v>2.3830900000000002</v>
      </c>
      <c r="C39" s="7">
        <f>31</f>
        <v>31</v>
      </c>
      <c r="D39" s="7">
        <f>27081</f>
        <v>27081</v>
      </c>
      <c r="E39" s="7">
        <f t="shared" si="2"/>
        <v>64536.460290000003</v>
      </c>
      <c r="F39" s="7">
        <f t="shared" si="0"/>
        <v>2081.8212996774196</v>
      </c>
      <c r="G39" s="10">
        <v>0.24074074074074073</v>
      </c>
      <c r="H39" s="10">
        <f t="shared" si="1"/>
        <v>0.7592592592592593</v>
      </c>
      <c r="L39" s="10">
        <v>0.53703703703703709</v>
      </c>
      <c r="M39" s="10">
        <v>5.5555555555555552E-2</v>
      </c>
      <c r="N39" s="10">
        <v>7.407407407407407E-2</v>
      </c>
      <c r="O39" s="10">
        <v>9.2592592592592587E-2</v>
      </c>
    </row>
    <row r="40" spans="1:15" x14ac:dyDescent="0.35">
      <c r="A40" s="13">
        <v>41699</v>
      </c>
      <c r="B40" s="14">
        <f>SUMIF('Dólar Spot'!$B:$B,$A40,'Dólar Spot'!$C:$C)/COUNTIF('Dólar Spot'!$B:$B,$A40)</f>
        <v>2.3254947368421055</v>
      </c>
      <c r="C40" s="7">
        <f>31</f>
        <v>31</v>
      </c>
      <c r="D40" s="7">
        <f>27081</f>
        <v>27081</v>
      </c>
      <c r="E40" s="7">
        <f t="shared" si="2"/>
        <v>62976.722968421062</v>
      </c>
      <c r="F40" s="7">
        <f t="shared" si="0"/>
        <v>2031.5071925297116</v>
      </c>
      <c r="G40" s="10">
        <v>0.24074074074074073</v>
      </c>
      <c r="H40" s="10">
        <f t="shared" si="1"/>
        <v>0.7592592592592593</v>
      </c>
      <c r="L40" s="10">
        <v>0.53703703703703709</v>
      </c>
      <c r="M40" s="10">
        <v>5.5555555555555552E-2</v>
      </c>
      <c r="N40" s="10">
        <v>7.407407407407407E-2</v>
      </c>
      <c r="O40" s="10">
        <v>9.2592592592592587E-2</v>
      </c>
    </row>
    <row r="41" spans="1:15" x14ac:dyDescent="0.35">
      <c r="A41" s="13">
        <v>41730</v>
      </c>
      <c r="B41" s="14">
        <f>SUMIF('Dólar Spot'!$B:$B,$A41,'Dólar Spot'!$C:$C)/COUNTIF('Dólar Spot'!$B:$B,$A41)</f>
        <v>2.231725</v>
      </c>
      <c r="C41" s="7">
        <f>31</f>
        <v>31</v>
      </c>
      <c r="D41" s="7">
        <f>27081</f>
        <v>27081</v>
      </c>
      <c r="E41" s="7">
        <f t="shared" si="2"/>
        <v>60437.344724999995</v>
      </c>
      <c r="F41" s="7">
        <f t="shared" si="0"/>
        <v>1949.5917653225804</v>
      </c>
      <c r="G41" s="10">
        <v>0.24074074074074073</v>
      </c>
      <c r="H41" s="10">
        <f t="shared" si="1"/>
        <v>0.7592592592592593</v>
      </c>
      <c r="L41" s="10">
        <v>0.53703703703703709</v>
      </c>
      <c r="M41" s="10">
        <v>5.5555555555555552E-2</v>
      </c>
      <c r="N41" s="10">
        <v>7.407407407407407E-2</v>
      </c>
      <c r="O41" s="10">
        <v>9.2592592592592587E-2</v>
      </c>
    </row>
    <row r="42" spans="1:15" x14ac:dyDescent="0.35">
      <c r="A42" s="13">
        <v>41760</v>
      </c>
      <c r="B42" s="14">
        <f>SUMIF('Dólar Spot'!$B:$B,$A42,'Dólar Spot'!$C:$C)/COUNTIF('Dólar Spot'!$B:$B,$A42)</f>
        <v>2.2202809523809526</v>
      </c>
      <c r="C42" s="7">
        <f>31</f>
        <v>31</v>
      </c>
      <c r="D42" s="7">
        <f>27081</f>
        <v>27081</v>
      </c>
      <c r="E42" s="7">
        <f t="shared" si="2"/>
        <v>60127.428471428575</v>
      </c>
      <c r="F42" s="7">
        <f t="shared" si="0"/>
        <v>1939.5944668202767</v>
      </c>
      <c r="G42" s="10">
        <v>0.24074074074074073</v>
      </c>
      <c r="H42" s="10">
        <f t="shared" si="1"/>
        <v>0.7592592592592593</v>
      </c>
      <c r="L42" s="10">
        <v>0.53703703703703709</v>
      </c>
      <c r="M42" s="10">
        <v>5.5555555555555552E-2</v>
      </c>
      <c r="N42" s="10">
        <v>7.407407407407407E-2</v>
      </c>
      <c r="O42" s="10">
        <v>9.2592592592592587E-2</v>
      </c>
    </row>
    <row r="43" spans="1:15" x14ac:dyDescent="0.35">
      <c r="A43" s="13">
        <v>41791</v>
      </c>
      <c r="B43" s="14">
        <f>SUMIF('Dólar Spot'!$B:$B,$A43,'Dólar Spot'!$C:$C)/COUNTIF('Dólar Spot'!$B:$B,$A43)</f>
        <v>2.2348599999999998</v>
      </c>
      <c r="C43" s="7">
        <f>31</f>
        <v>31</v>
      </c>
      <c r="D43" s="7">
        <f>27081</f>
        <v>27081</v>
      </c>
      <c r="E43" s="7">
        <f t="shared" si="2"/>
        <v>60522.243659999993</v>
      </c>
      <c r="F43" s="7">
        <f t="shared" si="0"/>
        <v>1952.3304406451612</v>
      </c>
      <c r="G43" s="10">
        <v>0.24074074074074073</v>
      </c>
      <c r="H43" s="10">
        <f t="shared" si="1"/>
        <v>0.7592592592592593</v>
      </c>
      <c r="L43" s="10">
        <v>0.53703703703703709</v>
      </c>
      <c r="M43" s="10">
        <v>5.5555555555555552E-2</v>
      </c>
      <c r="N43" s="10">
        <v>7.407407407407407E-2</v>
      </c>
      <c r="O43" s="10">
        <v>9.2592592592592587E-2</v>
      </c>
    </row>
    <row r="44" spans="1:15" x14ac:dyDescent="0.35">
      <c r="A44" s="13">
        <v>41821</v>
      </c>
      <c r="B44" s="14">
        <f>SUMIF('Dólar Spot'!$B:$B,$A44,'Dólar Spot'!$C:$C)/COUNTIF('Dólar Spot'!$B:$B,$A44)</f>
        <v>2.2240217391304347</v>
      </c>
      <c r="C44" s="7">
        <f>31</f>
        <v>31</v>
      </c>
      <c r="D44" s="7">
        <f>27081</f>
        <v>27081</v>
      </c>
      <c r="E44" s="7">
        <f t="shared" si="2"/>
        <v>60228.7327173913</v>
      </c>
      <c r="F44" s="7">
        <f t="shared" si="0"/>
        <v>1942.8623457223</v>
      </c>
      <c r="G44" s="10">
        <v>0.24074074074074073</v>
      </c>
      <c r="H44" s="10">
        <f t="shared" si="1"/>
        <v>0.7592592592592593</v>
      </c>
      <c r="L44" s="10">
        <v>0.53703703703703709</v>
      </c>
      <c r="M44" s="10">
        <v>5.5555555555555552E-2</v>
      </c>
      <c r="N44" s="10">
        <v>7.407407407407407E-2</v>
      </c>
      <c r="O44" s="10">
        <v>9.2592592592592587E-2</v>
      </c>
    </row>
    <row r="45" spans="1:15" x14ac:dyDescent="0.35">
      <c r="A45" s="13">
        <v>41852</v>
      </c>
      <c r="B45" s="14">
        <f>SUMIF('Dólar Spot'!$B:$B,$A45,'Dólar Spot'!$C:$C)/COUNTIF('Dólar Spot'!$B:$B,$A45)</f>
        <v>2.2674238095238093</v>
      </c>
      <c r="C45" s="7">
        <f>31</f>
        <v>31</v>
      </c>
      <c r="D45" s="7">
        <f>27081</f>
        <v>27081</v>
      </c>
      <c r="E45" s="7">
        <f t="shared" si="2"/>
        <v>61404.104185714277</v>
      </c>
      <c r="F45" s="7">
        <f t="shared" si="0"/>
        <v>1980.7775543778798</v>
      </c>
      <c r="G45" s="10">
        <v>0.24074074074074073</v>
      </c>
      <c r="H45" s="10">
        <f t="shared" si="1"/>
        <v>0.7592592592592593</v>
      </c>
      <c r="L45" s="10">
        <v>0.53703703703703709</v>
      </c>
      <c r="M45" s="10">
        <v>5.5555555555555552E-2</v>
      </c>
      <c r="N45" s="10">
        <v>7.407407407407407E-2</v>
      </c>
      <c r="O45" s="10">
        <v>9.2592592592592587E-2</v>
      </c>
    </row>
    <row r="46" spans="1:15" x14ac:dyDescent="0.35">
      <c r="A46" s="13">
        <v>41883</v>
      </c>
      <c r="B46" s="14">
        <f>SUMIF('Dólar Spot'!$B:$B,$A46,'Dólar Spot'!$C:$C)/COUNTIF('Dólar Spot'!$B:$B,$A46)</f>
        <v>2.3322545454545458</v>
      </c>
      <c r="C46" s="7">
        <f>31</f>
        <v>31</v>
      </c>
      <c r="D46" s="7">
        <f>27081</f>
        <v>27081</v>
      </c>
      <c r="E46" s="7">
        <f t="shared" si="2"/>
        <v>63159.785345454555</v>
      </c>
      <c r="F46" s="7">
        <f t="shared" si="0"/>
        <v>2037.4124304985339</v>
      </c>
      <c r="G46" s="10">
        <v>0.24074074074074073</v>
      </c>
      <c r="H46" s="10">
        <f t="shared" si="1"/>
        <v>0.7592592592592593</v>
      </c>
      <c r="L46" s="10">
        <v>0.53703703703703709</v>
      </c>
      <c r="M46" s="10">
        <v>5.5555555555555552E-2</v>
      </c>
      <c r="N46" s="10">
        <v>7.407407407407407E-2</v>
      </c>
      <c r="O46" s="10">
        <v>9.2592592592592587E-2</v>
      </c>
    </row>
    <row r="47" spans="1:15" x14ac:dyDescent="0.35">
      <c r="A47" s="13">
        <v>41913</v>
      </c>
      <c r="B47" s="14">
        <f>SUMIF('Dólar Spot'!$B:$B,$A47,'Dólar Spot'!$C:$C)/COUNTIF('Dólar Spot'!$B:$B,$A47)</f>
        <v>2.4476434782608694</v>
      </c>
      <c r="C47" s="7">
        <f>31</f>
        <v>31</v>
      </c>
      <c r="D47" s="7">
        <f>27081</f>
        <v>27081</v>
      </c>
      <c r="E47" s="7">
        <f t="shared" si="2"/>
        <v>66284.633034782601</v>
      </c>
      <c r="F47" s="7">
        <f t="shared" si="0"/>
        <v>2138.213968863955</v>
      </c>
      <c r="G47" s="10">
        <v>0.24074074074074073</v>
      </c>
      <c r="H47" s="10">
        <f t="shared" si="1"/>
        <v>0.7592592592592593</v>
      </c>
      <c r="L47" s="10">
        <v>0.53703703703703709</v>
      </c>
      <c r="M47" s="10">
        <v>5.5555555555555552E-2</v>
      </c>
      <c r="N47" s="10">
        <v>7.407407407407407E-2</v>
      </c>
      <c r="O47" s="10">
        <v>9.2592592592592587E-2</v>
      </c>
    </row>
    <row r="48" spans="1:15" x14ac:dyDescent="0.35">
      <c r="A48" s="13">
        <v>41944</v>
      </c>
      <c r="B48" s="14">
        <f>SUMIF('Dólar Spot'!$B:$B,$A48,'Dólar Spot'!$C:$C)/COUNTIF('Dólar Spot'!$B:$B,$A48)</f>
        <v>2.5482299999999998</v>
      </c>
      <c r="C48" s="7">
        <f>31</f>
        <v>31</v>
      </c>
      <c r="D48" s="7">
        <f>27081</f>
        <v>27081</v>
      </c>
      <c r="E48" s="7">
        <f t="shared" si="2"/>
        <v>69008.61662999999</v>
      </c>
      <c r="F48" s="7">
        <f t="shared" si="0"/>
        <v>2226.0844074193546</v>
      </c>
      <c r="G48" s="10">
        <v>0.24074074074074073</v>
      </c>
      <c r="H48" s="10">
        <f t="shared" si="1"/>
        <v>0.7592592592592593</v>
      </c>
      <c r="L48" s="10">
        <v>0.53703703703703709</v>
      </c>
      <c r="M48" s="10">
        <v>5.5555555555555552E-2</v>
      </c>
      <c r="N48" s="10">
        <v>7.407407407407407E-2</v>
      </c>
      <c r="O48" s="10">
        <v>9.2592592592592587E-2</v>
      </c>
    </row>
    <row r="49" spans="1:15" s="19" customFormat="1" ht="15" thickBot="1" x14ac:dyDescent="0.4">
      <c r="A49" s="15">
        <v>41974</v>
      </c>
      <c r="B49" s="16">
        <f>SUMIF('Dólar Spot'!$B:$B,$A49,'Dólar Spot'!$C:$C)/COUNTIF('Dólar Spot'!$B:$B,$A49)</f>
        <v>2.6387363636363634</v>
      </c>
      <c r="C49" s="17">
        <f>31</f>
        <v>31</v>
      </c>
      <c r="D49" s="17">
        <f>27081</f>
        <v>27081</v>
      </c>
      <c r="E49" s="17">
        <f t="shared" si="2"/>
        <v>71459.619463636365</v>
      </c>
      <c r="F49" s="17">
        <f t="shared" si="0"/>
        <v>2305.1490149560118</v>
      </c>
      <c r="G49" s="18">
        <v>0.24074074074074073</v>
      </c>
      <c r="H49" s="18">
        <f t="shared" si="1"/>
        <v>0.7592592592592593</v>
      </c>
      <c r="I49" s="18"/>
      <c r="J49" s="18"/>
      <c r="K49" s="18"/>
      <c r="L49" s="18">
        <v>0.53703703703703709</v>
      </c>
      <c r="M49" s="18">
        <v>5.5555555555555552E-2</v>
      </c>
      <c r="N49" s="18">
        <v>7.407407407407407E-2</v>
      </c>
      <c r="O49" s="18">
        <v>9.2592592592592587E-2</v>
      </c>
    </row>
    <row r="50" spans="1:15" x14ac:dyDescent="0.35">
      <c r="A50" s="13">
        <v>42005</v>
      </c>
      <c r="B50" s="14">
        <f>SUMIF('Dólar Spot'!$B:$B,$A50,'Dólar Spot'!$C:$C)/COUNTIF('Dólar Spot'!$B:$B,$A50)</f>
        <v>2.6336190476190473</v>
      </c>
      <c r="C50" s="7">
        <f>7</f>
        <v>7</v>
      </c>
      <c r="D50" s="7">
        <f>6533</f>
        <v>6533</v>
      </c>
      <c r="E50" s="7">
        <f t="shared" si="2"/>
        <v>17205.433238095236</v>
      </c>
      <c r="F50" s="7">
        <f t="shared" si="0"/>
        <v>2457.9190340136051</v>
      </c>
      <c r="G50" s="10">
        <v>0.14285714285714285</v>
      </c>
      <c r="H50" s="10">
        <f t="shared" si="1"/>
        <v>0.85714285714285721</v>
      </c>
      <c r="L50" s="10">
        <v>0.8571428571428571</v>
      </c>
      <c r="M50" s="10">
        <v>0</v>
      </c>
      <c r="N50" s="10">
        <v>0</v>
      </c>
      <c r="O50" s="10">
        <v>0</v>
      </c>
    </row>
    <row r="51" spans="1:15" x14ac:dyDescent="0.35">
      <c r="A51" s="13">
        <v>42036</v>
      </c>
      <c r="B51" s="14">
        <f>SUMIF('Dólar Spot'!$B:$B,$A51,'Dólar Spot'!$C:$C)/COUNTIF('Dólar Spot'!$B:$B,$A51)</f>
        <v>2.815838888888889</v>
      </c>
      <c r="C51" s="7">
        <f>7</f>
        <v>7</v>
      </c>
      <c r="D51" s="7">
        <f>6533</f>
        <v>6533</v>
      </c>
      <c r="E51" s="7">
        <f t="shared" si="2"/>
        <v>18395.875461111111</v>
      </c>
      <c r="F51" s="7">
        <f t="shared" si="0"/>
        <v>2627.9822087301586</v>
      </c>
      <c r="G51" s="10">
        <v>0.14285714285714285</v>
      </c>
      <c r="H51" s="10">
        <f t="shared" si="1"/>
        <v>0.85714285714285721</v>
      </c>
      <c r="L51" s="10">
        <v>0.8571428571428571</v>
      </c>
      <c r="M51" s="10">
        <v>0</v>
      </c>
      <c r="N51" s="10">
        <v>0</v>
      </c>
      <c r="O51" s="10">
        <v>0</v>
      </c>
    </row>
    <row r="52" spans="1:15" x14ac:dyDescent="0.35">
      <c r="A52" s="13">
        <v>42064</v>
      </c>
      <c r="B52" s="14">
        <f>SUMIF('Dólar Spot'!$B:$B,$A52,'Dólar Spot'!$C:$C)/COUNTIF('Dólar Spot'!$B:$B,$A52)</f>
        <v>3.1388636363636362</v>
      </c>
      <c r="C52" s="7">
        <f>7</f>
        <v>7</v>
      </c>
      <c r="D52" s="7">
        <f>6533</f>
        <v>6533</v>
      </c>
      <c r="E52" s="7">
        <f t="shared" si="2"/>
        <v>20506.196136363636</v>
      </c>
      <c r="F52" s="7">
        <f t="shared" si="0"/>
        <v>2929.4565909090911</v>
      </c>
      <c r="G52" s="10">
        <v>0.14285714285714285</v>
      </c>
      <c r="H52" s="10">
        <f t="shared" si="1"/>
        <v>0.85714285714285721</v>
      </c>
      <c r="L52" s="10">
        <v>0.8571428571428571</v>
      </c>
      <c r="M52" s="10">
        <v>0</v>
      </c>
      <c r="N52" s="10">
        <v>0</v>
      </c>
      <c r="O52" s="10">
        <v>0</v>
      </c>
    </row>
    <row r="53" spans="1:15" x14ac:dyDescent="0.35">
      <c r="A53" s="13">
        <v>42095</v>
      </c>
      <c r="B53" s="14">
        <f>SUMIF('Dólar Spot'!$B:$B,$A53,'Dólar Spot'!$C:$C)/COUNTIF('Dólar Spot'!$B:$B,$A53)</f>
        <v>3.0425949999999999</v>
      </c>
      <c r="C53" s="7">
        <f>7</f>
        <v>7</v>
      </c>
      <c r="D53" s="7">
        <f>6533</f>
        <v>6533</v>
      </c>
      <c r="E53" s="7">
        <f t="shared" si="2"/>
        <v>19877.273134999999</v>
      </c>
      <c r="F53" s="7">
        <f t="shared" si="0"/>
        <v>2839.6104478571428</v>
      </c>
      <c r="G53" s="10">
        <v>0.14285714285714285</v>
      </c>
      <c r="H53" s="10">
        <f t="shared" si="1"/>
        <v>0.85714285714285721</v>
      </c>
      <c r="L53" s="10">
        <v>0.8571428571428571</v>
      </c>
      <c r="M53" s="10">
        <v>0</v>
      </c>
      <c r="N53" s="10">
        <v>0</v>
      </c>
      <c r="O53" s="10">
        <v>0</v>
      </c>
    </row>
    <row r="54" spans="1:15" x14ac:dyDescent="0.35">
      <c r="A54" s="13">
        <v>42125</v>
      </c>
      <c r="B54" s="14">
        <f>SUMIF('Dólar Spot'!$B:$B,$A54,'Dólar Spot'!$C:$C)/COUNTIF('Dólar Spot'!$B:$B,$A54)</f>
        <v>3.0610749999999998</v>
      </c>
      <c r="C54" s="7">
        <f>7</f>
        <v>7</v>
      </c>
      <c r="D54" s="7">
        <f>6533</f>
        <v>6533</v>
      </c>
      <c r="E54" s="7">
        <f t="shared" si="2"/>
        <v>19998.002974999999</v>
      </c>
      <c r="F54" s="7">
        <f t="shared" si="0"/>
        <v>2856.8575678571428</v>
      </c>
      <c r="G54" s="10">
        <v>0.14285714285714285</v>
      </c>
      <c r="H54" s="10">
        <f t="shared" si="1"/>
        <v>0.85714285714285721</v>
      </c>
      <c r="L54" s="10">
        <v>0.8571428571428571</v>
      </c>
      <c r="M54" s="10">
        <v>0</v>
      </c>
      <c r="N54" s="10">
        <v>0</v>
      </c>
      <c r="O54" s="10">
        <v>0</v>
      </c>
    </row>
    <row r="55" spans="1:15" x14ac:dyDescent="0.35">
      <c r="A55" s="13">
        <v>42156</v>
      </c>
      <c r="B55" s="14">
        <f>SUMIF('Dólar Spot'!$B:$B,$A55,'Dólar Spot'!$C:$C)/COUNTIF('Dólar Spot'!$B:$B,$A55)</f>
        <v>3.1111238095238098</v>
      </c>
      <c r="C55" s="7">
        <f>7</f>
        <v>7</v>
      </c>
      <c r="D55" s="7">
        <f>6533</f>
        <v>6533</v>
      </c>
      <c r="E55" s="7">
        <f t="shared" si="2"/>
        <v>20324.97184761905</v>
      </c>
      <c r="F55" s="7">
        <f t="shared" si="0"/>
        <v>2903.5674068027215</v>
      </c>
      <c r="G55" s="10">
        <v>0.14285714285714285</v>
      </c>
      <c r="H55" s="10">
        <f t="shared" si="1"/>
        <v>0.85714285714285721</v>
      </c>
      <c r="L55" s="10">
        <v>0.8571428571428571</v>
      </c>
      <c r="M55" s="10">
        <v>0</v>
      </c>
      <c r="N55" s="10">
        <v>0</v>
      </c>
      <c r="O55" s="10">
        <v>0</v>
      </c>
    </row>
    <row r="56" spans="1:15" x14ac:dyDescent="0.35">
      <c r="A56" s="13">
        <v>42186</v>
      </c>
      <c r="B56" s="14">
        <f>SUMIF('Dólar Spot'!$B:$B,$A56,'Dólar Spot'!$C:$C)/COUNTIF('Dólar Spot'!$B:$B,$A56)</f>
        <v>3.222508695652174</v>
      </c>
      <c r="C56" s="7">
        <f>7</f>
        <v>7</v>
      </c>
      <c r="D56" s="7">
        <f>6533</f>
        <v>6533</v>
      </c>
      <c r="E56" s="7">
        <f t="shared" si="2"/>
        <v>21052.649308695654</v>
      </c>
      <c r="F56" s="7">
        <f t="shared" si="0"/>
        <v>3007.521329813665</v>
      </c>
      <c r="G56" s="10">
        <v>0.14285714285714285</v>
      </c>
      <c r="H56" s="10">
        <f t="shared" si="1"/>
        <v>0.85714285714285721</v>
      </c>
      <c r="L56" s="10">
        <v>0.8571428571428571</v>
      </c>
      <c r="M56" s="10">
        <v>0</v>
      </c>
      <c r="N56" s="10">
        <v>0</v>
      </c>
      <c r="O56" s="10">
        <v>0</v>
      </c>
    </row>
    <row r="57" spans="1:15" x14ac:dyDescent="0.35">
      <c r="A57" s="13">
        <v>42217</v>
      </c>
      <c r="B57" s="14">
        <f>SUMIF('Dólar Spot'!$B:$B,$A57,'Dólar Spot'!$C:$C)/COUNTIF('Dólar Spot'!$B:$B,$A57)</f>
        <v>3.513695238095238</v>
      </c>
      <c r="C57" s="7">
        <f>7</f>
        <v>7</v>
      </c>
      <c r="D57" s="7">
        <f>6533</f>
        <v>6533</v>
      </c>
      <c r="E57" s="7">
        <f t="shared" si="2"/>
        <v>22954.970990476191</v>
      </c>
      <c r="F57" s="7">
        <f t="shared" si="0"/>
        <v>3279.2815700680271</v>
      </c>
      <c r="G57" s="10">
        <v>0.14285714285714285</v>
      </c>
      <c r="H57" s="10">
        <f t="shared" si="1"/>
        <v>0.85714285714285721</v>
      </c>
      <c r="L57" s="10">
        <v>0.8571428571428571</v>
      </c>
      <c r="M57" s="10">
        <v>0</v>
      </c>
      <c r="N57" s="10">
        <v>0</v>
      </c>
      <c r="O57" s="10">
        <v>0</v>
      </c>
    </row>
    <row r="58" spans="1:15" x14ac:dyDescent="0.35">
      <c r="A58" s="13">
        <v>42248</v>
      </c>
      <c r="B58" s="14">
        <f>SUMIF('Dólar Spot'!$B:$B,$A58,'Dólar Spot'!$C:$C)/COUNTIF('Dólar Spot'!$B:$B,$A58)</f>
        <v>3.9058095238095234</v>
      </c>
      <c r="C58" s="7">
        <f>7</f>
        <v>7</v>
      </c>
      <c r="D58" s="7">
        <f>6533</f>
        <v>6533</v>
      </c>
      <c r="E58" s="7">
        <f t="shared" si="2"/>
        <v>25516.653619047618</v>
      </c>
      <c r="F58" s="7">
        <f t="shared" si="0"/>
        <v>3645.236231292517</v>
      </c>
      <c r="G58" s="10">
        <v>0.14285714285714285</v>
      </c>
      <c r="H58" s="10">
        <f t="shared" si="1"/>
        <v>0.85714285714285721</v>
      </c>
      <c r="L58" s="10">
        <v>0.8571428571428571</v>
      </c>
      <c r="M58" s="10">
        <v>0</v>
      </c>
      <c r="N58" s="10">
        <v>0</v>
      </c>
      <c r="O58" s="10">
        <v>0</v>
      </c>
    </row>
    <row r="59" spans="1:15" x14ac:dyDescent="0.35">
      <c r="A59" s="13">
        <v>42278</v>
      </c>
      <c r="B59" s="14">
        <f>SUMIF('Dólar Spot'!$B:$B,$A59,'Dólar Spot'!$C:$C)/COUNTIF('Dólar Spot'!$B:$B,$A59)</f>
        <v>3.8795047619047618</v>
      </c>
      <c r="C59" s="7">
        <f>7</f>
        <v>7</v>
      </c>
      <c r="D59" s="7">
        <f>6533</f>
        <v>6533</v>
      </c>
      <c r="E59" s="7">
        <f t="shared" si="2"/>
        <v>25344.80460952381</v>
      </c>
      <c r="F59" s="7">
        <f t="shared" si="0"/>
        <v>3620.6863727891155</v>
      </c>
      <c r="G59" s="10">
        <v>0.14285714285714285</v>
      </c>
      <c r="H59" s="10">
        <f t="shared" si="1"/>
        <v>0.85714285714285721</v>
      </c>
      <c r="L59" s="10">
        <v>0.8571428571428571</v>
      </c>
      <c r="M59" s="10">
        <v>0</v>
      </c>
      <c r="N59" s="10">
        <v>0</v>
      </c>
      <c r="O59" s="10">
        <v>0</v>
      </c>
    </row>
    <row r="60" spans="1:15" x14ac:dyDescent="0.35">
      <c r="A60" s="13">
        <v>42309</v>
      </c>
      <c r="B60" s="14">
        <f>SUMIF('Dólar Spot'!$B:$B,$A60,'Dólar Spot'!$C:$C)/COUNTIF('Dólar Spot'!$B:$B,$A60)</f>
        <v>3.7758000000000003</v>
      </c>
      <c r="C60" s="7">
        <f>7</f>
        <v>7</v>
      </c>
      <c r="D60" s="7">
        <f>6533</f>
        <v>6533</v>
      </c>
      <c r="E60" s="7">
        <f t="shared" si="2"/>
        <v>24667.3014</v>
      </c>
      <c r="F60" s="7">
        <f t="shared" si="0"/>
        <v>3523.9002</v>
      </c>
      <c r="G60" s="10">
        <v>0.14285714285714285</v>
      </c>
      <c r="H60" s="10">
        <f t="shared" si="1"/>
        <v>0.85714285714285721</v>
      </c>
      <c r="L60" s="10">
        <v>0.8571428571428571</v>
      </c>
      <c r="M60" s="10">
        <v>0</v>
      </c>
      <c r="N60" s="10">
        <v>0</v>
      </c>
      <c r="O60" s="10">
        <v>0</v>
      </c>
    </row>
    <row r="61" spans="1:15" s="19" customFormat="1" ht="15" thickBot="1" x14ac:dyDescent="0.4">
      <c r="A61" s="15">
        <v>42339</v>
      </c>
      <c r="B61" s="16">
        <f>SUMIF('Dólar Spot'!$B:$B,$A61,'Dólar Spot'!$C:$C)/COUNTIF('Dólar Spot'!$B:$B,$A61)</f>
        <v>3.8704954545454551</v>
      </c>
      <c r="C61" s="17">
        <f>7</f>
        <v>7</v>
      </c>
      <c r="D61" s="17">
        <f>6533</f>
        <v>6533</v>
      </c>
      <c r="E61" s="17">
        <f t="shared" si="2"/>
        <v>25285.94680454546</v>
      </c>
      <c r="F61" s="17">
        <f t="shared" si="0"/>
        <v>3612.2781149350658</v>
      </c>
      <c r="G61" s="18">
        <v>0.14285714285714285</v>
      </c>
      <c r="H61" s="18">
        <f t="shared" si="1"/>
        <v>0.85714285714285721</v>
      </c>
      <c r="I61" s="18"/>
      <c r="J61" s="18"/>
      <c r="K61" s="18"/>
      <c r="L61" s="18">
        <v>0.8571428571428571</v>
      </c>
      <c r="M61" s="18">
        <v>0</v>
      </c>
      <c r="N61" s="18">
        <v>0</v>
      </c>
      <c r="O61" s="18">
        <v>0</v>
      </c>
    </row>
    <row r="62" spans="1:15" x14ac:dyDescent="0.35">
      <c r="A62" s="13">
        <v>42370</v>
      </c>
      <c r="B62" s="14">
        <f>SUMIF('Dólar Spot'!$B:$B,$A62,'Dólar Spot'!$C:$C)/COUNTIF('Dólar Spot'!$B:$B,$A62)</f>
        <v>4.0517149999999997</v>
      </c>
      <c r="C62" s="7">
        <v>0</v>
      </c>
      <c r="D62" s="7">
        <v>0</v>
      </c>
      <c r="E62" s="7">
        <f t="shared" si="2"/>
        <v>0</v>
      </c>
      <c r="F62" s="7">
        <f t="shared" si="0"/>
        <v>0</v>
      </c>
      <c r="G62" s="10">
        <v>0.22222222222222221</v>
      </c>
      <c r="H62" s="10">
        <f t="shared" si="1"/>
        <v>0.77777777777777779</v>
      </c>
      <c r="L62" s="10">
        <v>0.61111111111111116</v>
      </c>
      <c r="M62" s="10">
        <v>0.1111111111111111</v>
      </c>
      <c r="N62" s="10">
        <v>5.5555555555555552E-2</v>
      </c>
      <c r="O62" s="10">
        <v>0</v>
      </c>
    </row>
    <row r="63" spans="1:15" x14ac:dyDescent="0.35">
      <c r="A63" s="13">
        <v>42401</v>
      </c>
      <c r="B63" s="14">
        <f>SUMIF('Dólar Spot'!$B:$B,$A63,'Dólar Spot'!$C:$C)/COUNTIF('Dólar Spot'!$B:$B,$A63)</f>
        <v>3.9731157894736842</v>
      </c>
      <c r="C63" s="7">
        <f>0-C62</f>
        <v>0</v>
      </c>
      <c r="D63" s="7">
        <f>0-D62</f>
        <v>0</v>
      </c>
      <c r="E63" s="7">
        <f t="shared" si="2"/>
        <v>0</v>
      </c>
      <c r="F63" s="7">
        <f t="shared" si="0"/>
        <v>0</v>
      </c>
      <c r="G63" s="10">
        <v>0.22222222222222221</v>
      </c>
      <c r="H63" s="10">
        <f t="shared" si="1"/>
        <v>0.77777777777777779</v>
      </c>
      <c r="L63" s="10">
        <v>0.61111111111111116</v>
      </c>
      <c r="M63" s="10">
        <v>0.1111111111111111</v>
      </c>
      <c r="N63" s="10">
        <v>5.5555555555555552E-2</v>
      </c>
      <c r="O63" s="10">
        <v>0</v>
      </c>
    </row>
    <row r="64" spans="1:15" x14ac:dyDescent="0.35">
      <c r="A64" s="13">
        <v>42430</v>
      </c>
      <c r="B64" s="14">
        <f>SUMIF('Dólar Spot'!$B:$B,$A64,'Dólar Spot'!$C:$C)/COUNTIF('Dólar Spot'!$B:$B,$A64)</f>
        <v>3.7033090909090904</v>
      </c>
      <c r="C64" s="7">
        <f>0-SUM(C$62:C63)</f>
        <v>0</v>
      </c>
      <c r="D64" s="7">
        <f>0-SUM(D$62:D63)</f>
        <v>0</v>
      </c>
      <c r="E64" s="7">
        <f t="shared" si="2"/>
        <v>0</v>
      </c>
      <c r="F64" s="7">
        <f t="shared" si="0"/>
        <v>0</v>
      </c>
      <c r="G64" s="10">
        <v>0.22222222222222221</v>
      </c>
      <c r="H64" s="10">
        <f t="shared" si="1"/>
        <v>0.77777777777777779</v>
      </c>
      <c r="L64" s="10">
        <v>0.61111111111111116</v>
      </c>
      <c r="M64" s="10">
        <v>0.1111111111111111</v>
      </c>
      <c r="N64" s="10">
        <v>5.5555555555555552E-2</v>
      </c>
      <c r="O64" s="10">
        <v>0</v>
      </c>
    </row>
    <row r="65" spans="1:15" x14ac:dyDescent="0.35">
      <c r="A65" s="13">
        <v>42461</v>
      </c>
      <c r="B65" s="14">
        <f>SUMIF('Dólar Spot'!$B:$B,$A65,'Dólar Spot'!$C:$C)/COUNTIF('Dólar Spot'!$B:$B,$A65)</f>
        <v>3.5652400000000006</v>
      </c>
      <c r="C65" s="7">
        <f>0-SUM(C$62:C64)</f>
        <v>0</v>
      </c>
      <c r="D65" s="7">
        <f>0-SUM(D$62:D64)</f>
        <v>0</v>
      </c>
      <c r="E65" s="7">
        <f t="shared" si="2"/>
        <v>0</v>
      </c>
      <c r="F65" s="7">
        <f t="shared" si="0"/>
        <v>0</v>
      </c>
      <c r="G65" s="10">
        <v>0.22222222222222221</v>
      </c>
      <c r="H65" s="10">
        <f t="shared" si="1"/>
        <v>0.77777777777777779</v>
      </c>
      <c r="L65" s="10">
        <v>0.61111111111111116</v>
      </c>
      <c r="M65" s="10">
        <v>0.1111111111111111</v>
      </c>
      <c r="N65" s="10">
        <v>5.5555555555555552E-2</v>
      </c>
      <c r="O65" s="10">
        <v>0</v>
      </c>
    </row>
    <row r="66" spans="1:15" x14ac:dyDescent="0.35">
      <c r="A66" s="13">
        <v>42491</v>
      </c>
      <c r="B66" s="14">
        <f>SUMIF('Dólar Spot'!$B:$B,$A66,'Dólar Spot'!$C:$C)/COUNTIF('Dólar Spot'!$B:$B,$A66)</f>
        <v>3.5386857142857142</v>
      </c>
      <c r="C66" s="7">
        <f>1-SUM(C$62:C65)</f>
        <v>1</v>
      </c>
      <c r="D66" s="7">
        <f>6750-SUM(D$62:D65)</f>
        <v>6750</v>
      </c>
      <c r="E66" s="7">
        <f t="shared" si="2"/>
        <v>23886.12857142857</v>
      </c>
      <c r="F66" s="7">
        <f t="shared" si="0"/>
        <v>23886.12857142857</v>
      </c>
      <c r="G66" s="10">
        <v>0.22222222222222221</v>
      </c>
      <c r="H66" s="10">
        <f t="shared" si="1"/>
        <v>0.77777777777777779</v>
      </c>
      <c r="L66" s="10">
        <v>0.61111111111111116</v>
      </c>
      <c r="M66" s="10">
        <v>0.1111111111111111</v>
      </c>
      <c r="N66" s="10">
        <v>5.5555555555555552E-2</v>
      </c>
      <c r="O66" s="10">
        <v>0</v>
      </c>
    </row>
    <row r="67" spans="1:15" x14ac:dyDescent="0.35">
      <c r="A67" s="13">
        <v>42522</v>
      </c>
      <c r="B67" s="14">
        <f>SUMIF('Dólar Spot'!$B:$B,$A67,'Dólar Spot'!$C:$C)/COUNTIF('Dólar Spot'!$B:$B,$A67)</f>
        <v>3.4238772727272719</v>
      </c>
      <c r="C67" s="7">
        <f>3-SUM(C$62:C66)</f>
        <v>2</v>
      </c>
      <c r="D67" s="7">
        <f>8750-SUM(D$62:D66)</f>
        <v>2000</v>
      </c>
      <c r="E67" s="7">
        <f t="shared" ref="E67:E130" si="3">D67*B67</f>
        <v>6847.7545454545443</v>
      </c>
      <c r="F67" s="7">
        <f t="shared" ref="F67:F130" si="4">IFERROR(E67/C67,0)</f>
        <v>3423.8772727272722</v>
      </c>
      <c r="G67" s="10">
        <v>0.42857142857142855</v>
      </c>
      <c r="H67" s="10">
        <f t="shared" ref="H67:H130" si="5">1-G67</f>
        <v>0.5714285714285714</v>
      </c>
      <c r="L67" s="10">
        <v>0.42857142857142855</v>
      </c>
      <c r="M67" s="10">
        <v>0.14285714285714285</v>
      </c>
      <c r="N67" s="10">
        <v>0</v>
      </c>
      <c r="O67" s="10">
        <v>0</v>
      </c>
    </row>
    <row r="68" spans="1:15" x14ac:dyDescent="0.35">
      <c r="A68" s="13">
        <v>42552</v>
      </c>
      <c r="B68" s="14">
        <f>SUMIF('Dólar Spot'!$B:$B,$A68,'Dólar Spot'!$C:$C)/COUNTIF('Dólar Spot'!$B:$B,$A68)</f>
        <v>3.2747105263157894</v>
      </c>
      <c r="C68" s="7">
        <f>9-SUM(C$62:C67)</f>
        <v>6</v>
      </c>
      <c r="D68" s="7">
        <f>13500-SUM(D$62:D67)</f>
        <v>4750</v>
      </c>
      <c r="E68" s="7">
        <f t="shared" si="3"/>
        <v>15554.875</v>
      </c>
      <c r="F68" s="7">
        <f t="shared" si="4"/>
        <v>2592.4791666666665</v>
      </c>
      <c r="G68" s="10">
        <v>0.30769230769230771</v>
      </c>
      <c r="H68" s="10">
        <f t="shared" si="5"/>
        <v>0.69230769230769229</v>
      </c>
      <c r="L68" s="10">
        <v>0.46153846153846156</v>
      </c>
      <c r="M68" s="10">
        <v>0.15384615384615385</v>
      </c>
      <c r="N68" s="10">
        <v>7.6923076923076927E-2</v>
      </c>
      <c r="O68" s="10">
        <v>0</v>
      </c>
    </row>
    <row r="69" spans="1:15" x14ac:dyDescent="0.35">
      <c r="A69" s="13">
        <v>42583</v>
      </c>
      <c r="B69" s="14">
        <f>SUMIF('Dólar Spot'!$B:$B,$A69,'Dólar Spot'!$C:$C)/COUNTIF('Dólar Spot'!$B:$B,$A69)</f>
        <v>3.2090565217391305</v>
      </c>
      <c r="C69" s="7">
        <f>10-SUM(C$62:C68)</f>
        <v>1</v>
      </c>
      <c r="D69" s="7">
        <f>14500-SUM(D$62:D68)</f>
        <v>1000</v>
      </c>
      <c r="E69" s="7">
        <f t="shared" si="3"/>
        <v>3209.0565217391304</v>
      </c>
      <c r="F69" s="7">
        <f t="shared" si="4"/>
        <v>3209.0565217391304</v>
      </c>
      <c r="G69" s="10">
        <v>0.2857142857142857</v>
      </c>
      <c r="H69" s="10">
        <f t="shared" si="5"/>
        <v>0.7142857142857143</v>
      </c>
      <c r="L69" s="10">
        <v>0.5</v>
      </c>
      <c r="M69" s="10">
        <v>0.14285714285714285</v>
      </c>
      <c r="N69" s="10">
        <v>7.1428571428571425E-2</v>
      </c>
      <c r="O69" s="10">
        <v>0</v>
      </c>
    </row>
    <row r="70" spans="1:15" x14ac:dyDescent="0.35">
      <c r="A70" s="13">
        <v>42614</v>
      </c>
      <c r="B70" s="14">
        <f>SUMIF('Dólar Spot'!$B:$B,$A70,'Dólar Spot'!$C:$C)/COUNTIF('Dólar Spot'!$B:$B,$A70)</f>
        <v>3.2557714285714288</v>
      </c>
      <c r="C70" s="7">
        <f>12-SUM(C$62:C69)</f>
        <v>2</v>
      </c>
      <c r="D70" s="7">
        <f>16000-SUM(D$62:D69)</f>
        <v>1500</v>
      </c>
      <c r="E70" s="7">
        <f t="shared" si="3"/>
        <v>4883.6571428571433</v>
      </c>
      <c r="F70" s="7">
        <f t="shared" si="4"/>
        <v>2441.8285714285716</v>
      </c>
      <c r="G70" s="10">
        <v>0.25</v>
      </c>
      <c r="H70" s="10">
        <f t="shared" si="5"/>
        <v>0.75</v>
      </c>
      <c r="L70" s="10">
        <v>0.5625</v>
      </c>
      <c r="M70" s="10">
        <v>0.125</v>
      </c>
      <c r="N70" s="10">
        <v>6.25E-2</v>
      </c>
      <c r="O70" s="10">
        <v>0</v>
      </c>
    </row>
    <row r="71" spans="1:15" x14ac:dyDescent="0.35">
      <c r="A71" s="13">
        <v>42644</v>
      </c>
      <c r="B71" s="14">
        <f>SUMIF('Dólar Spot'!$B:$B,$A71,'Dólar Spot'!$C:$C)/COUNTIF('Dólar Spot'!$B:$B,$A71)</f>
        <v>3.185245000000001</v>
      </c>
      <c r="C71" s="7">
        <f>14-SUM(C$62:C70)</f>
        <v>2</v>
      </c>
      <c r="D71" s="7">
        <f>17250-SUM(D$62:D70)</f>
        <v>1250</v>
      </c>
      <c r="E71" s="7">
        <f t="shared" si="3"/>
        <v>3981.5562500000015</v>
      </c>
      <c r="F71" s="7">
        <f t="shared" si="4"/>
        <v>1990.7781250000007</v>
      </c>
      <c r="G71" s="10">
        <v>0.22222222222222221</v>
      </c>
      <c r="H71" s="10">
        <f t="shared" si="5"/>
        <v>0.77777777777777779</v>
      </c>
      <c r="L71" s="10">
        <v>0.61111111111111116</v>
      </c>
      <c r="M71" s="10">
        <v>0.1111111111111111</v>
      </c>
      <c r="N71" s="10">
        <v>5.5555555555555552E-2</v>
      </c>
      <c r="O71" s="10">
        <v>0</v>
      </c>
    </row>
    <row r="72" spans="1:15" x14ac:dyDescent="0.35">
      <c r="A72" s="13">
        <v>42675</v>
      </c>
      <c r="B72" s="14">
        <f>SUMIF('Dólar Spot'!$B:$B,$A72,'Dólar Spot'!$C:$C)/COUNTIF('Dólar Spot'!$B:$B,$A72)</f>
        <v>3.3414300000000003</v>
      </c>
      <c r="C72" s="7">
        <f>14-SUM(C$62:C71)</f>
        <v>0</v>
      </c>
      <c r="D72" s="7">
        <f>17250-SUM(D$62:D71)</f>
        <v>0</v>
      </c>
      <c r="E72" s="7">
        <f t="shared" si="3"/>
        <v>0</v>
      </c>
      <c r="F72" s="7">
        <f t="shared" si="4"/>
        <v>0</v>
      </c>
      <c r="G72" s="10">
        <v>0.22222222222222221</v>
      </c>
      <c r="H72" s="10">
        <f t="shared" si="5"/>
        <v>0.77777777777777779</v>
      </c>
      <c r="L72" s="10">
        <v>0.61111111111111116</v>
      </c>
      <c r="M72" s="10">
        <v>0.1111111111111111</v>
      </c>
      <c r="N72" s="10">
        <v>5.5555555555555552E-2</v>
      </c>
      <c r="O72" s="10">
        <v>0</v>
      </c>
    </row>
    <row r="73" spans="1:15" s="19" customFormat="1" ht="15" thickBot="1" x14ac:dyDescent="0.4">
      <c r="A73" s="15">
        <v>42705</v>
      </c>
      <c r="B73" s="16">
        <f>SUMIF('Dólar Spot'!$B:$B,$A73,'Dólar Spot'!$C:$C)/COUNTIF('Dólar Spot'!$B:$B,$A73)</f>
        <v>3.3516681818181819</v>
      </c>
      <c r="C73" s="17">
        <f>14-SUM(C$62:C72)</f>
        <v>0</v>
      </c>
      <c r="D73" s="17">
        <f>17250-SUM(D$62:D72)</f>
        <v>0</v>
      </c>
      <c r="E73" s="17">
        <f t="shared" si="3"/>
        <v>0</v>
      </c>
      <c r="F73" s="17">
        <f t="shared" si="4"/>
        <v>0</v>
      </c>
      <c r="G73" s="18">
        <v>0.22222222222222221</v>
      </c>
      <c r="H73" s="18">
        <f t="shared" si="5"/>
        <v>0.77777777777777779</v>
      </c>
      <c r="I73" s="18"/>
      <c r="J73" s="18"/>
      <c r="K73" s="18"/>
      <c r="L73" s="18">
        <v>0.61111111111111116</v>
      </c>
      <c r="M73" s="18">
        <v>0.1111111111111111</v>
      </c>
      <c r="N73" s="18">
        <v>5.5555555555555552E-2</v>
      </c>
      <c r="O73" s="18">
        <v>0</v>
      </c>
    </row>
    <row r="74" spans="1:15" x14ac:dyDescent="0.35">
      <c r="A74" s="13">
        <v>42736</v>
      </c>
      <c r="B74" s="14">
        <f>SUMIF('Dólar Spot'!$B:$B,$A74,'Dólar Spot'!$C:$C)/COUNTIF('Dólar Spot'!$B:$B,$A74)</f>
        <v>3.1959863636363637</v>
      </c>
      <c r="C74" s="7">
        <v>3</v>
      </c>
      <c r="D74" s="7">
        <v>5200</v>
      </c>
      <c r="E74" s="7">
        <f t="shared" si="3"/>
        <v>16619.129090909089</v>
      </c>
      <c r="F74" s="7">
        <f t="shared" si="4"/>
        <v>5539.7096969696968</v>
      </c>
      <c r="G74" s="10">
        <v>0.11764705882352941</v>
      </c>
      <c r="H74" s="10">
        <f t="shared" si="5"/>
        <v>0.88235294117647056</v>
      </c>
      <c r="L74" s="10">
        <v>0.76470588235294112</v>
      </c>
      <c r="M74" s="10">
        <v>0</v>
      </c>
      <c r="N74" s="10">
        <v>0.11764705882352941</v>
      </c>
      <c r="O74" s="10">
        <v>0</v>
      </c>
    </row>
    <row r="75" spans="1:15" x14ac:dyDescent="0.35">
      <c r="A75" s="13">
        <v>42767</v>
      </c>
      <c r="B75" s="14">
        <f>SUMIF('Dólar Spot'!$B:$B,$A75,'Dólar Spot'!$C:$C)/COUNTIF('Dólar Spot'!$B:$B,$A75)</f>
        <v>3.103588888888889</v>
      </c>
      <c r="C75" s="7">
        <f>6-C74</f>
        <v>3</v>
      </c>
      <c r="D75" s="7">
        <f>7700-D74</f>
        <v>2500</v>
      </c>
      <c r="E75" s="7">
        <f t="shared" si="3"/>
        <v>7758.9722222222226</v>
      </c>
      <c r="F75" s="7">
        <f t="shared" si="4"/>
        <v>2586.3240740740744</v>
      </c>
      <c r="G75" s="10">
        <v>0.11764705882352941</v>
      </c>
      <c r="H75" s="10">
        <f t="shared" si="5"/>
        <v>0.88235294117647056</v>
      </c>
      <c r="L75" s="10">
        <v>0.76470588235294112</v>
      </c>
      <c r="M75" s="10">
        <v>0</v>
      </c>
      <c r="N75" s="10">
        <v>0.11764705882352941</v>
      </c>
      <c r="O75" s="10">
        <v>0</v>
      </c>
    </row>
    <row r="76" spans="1:15" x14ac:dyDescent="0.35">
      <c r="A76" s="13">
        <v>42795</v>
      </c>
      <c r="B76" s="14">
        <f>SUMIF('Dólar Spot'!$B:$B,$A76,'Dólar Spot'!$C:$C)/COUNTIF('Dólar Spot'!$B:$B,$A76)</f>
        <v>3.1273304347826096</v>
      </c>
      <c r="C76" s="7">
        <f>9-SUM(C$74:C75)</f>
        <v>3</v>
      </c>
      <c r="D76" s="7">
        <f>8950-SUM(D$74:D75)</f>
        <v>1250</v>
      </c>
      <c r="E76" s="7">
        <f t="shared" si="3"/>
        <v>3909.1630434782619</v>
      </c>
      <c r="F76" s="7">
        <f t="shared" si="4"/>
        <v>1303.0543478260872</v>
      </c>
      <c r="G76" s="10">
        <v>0.11764705882352941</v>
      </c>
      <c r="H76" s="10">
        <f t="shared" si="5"/>
        <v>0.88235294117647056</v>
      </c>
      <c r="L76" s="10">
        <v>0.76470588235294112</v>
      </c>
      <c r="M76" s="10">
        <v>0</v>
      </c>
      <c r="N76" s="10">
        <v>0.11764705882352941</v>
      </c>
      <c r="O76" s="10">
        <v>0</v>
      </c>
    </row>
    <row r="77" spans="1:15" x14ac:dyDescent="0.35">
      <c r="A77" s="13">
        <v>42826</v>
      </c>
      <c r="B77" s="14">
        <f>SUMIF('Dólar Spot'!$B:$B,$A77,'Dólar Spot'!$C:$C)/COUNTIF('Dólar Spot'!$B:$B,$A77)</f>
        <v>3.1355722222222222</v>
      </c>
      <c r="C77" s="7">
        <f>9-SUM(C$74:C76)</f>
        <v>0</v>
      </c>
      <c r="D77" s="7">
        <f>8950-SUM(D$74:D76)</f>
        <v>0</v>
      </c>
      <c r="E77" s="7">
        <f t="shared" si="3"/>
        <v>0</v>
      </c>
      <c r="F77" s="7">
        <f t="shared" si="4"/>
        <v>0</v>
      </c>
      <c r="G77" s="10">
        <v>0.11764705882352941</v>
      </c>
      <c r="H77" s="10">
        <f t="shared" si="5"/>
        <v>0.88235294117647056</v>
      </c>
      <c r="L77" s="10">
        <v>0.76470588235294112</v>
      </c>
      <c r="M77" s="10">
        <v>0</v>
      </c>
      <c r="N77" s="10">
        <v>0.11764705882352941</v>
      </c>
      <c r="O77" s="10">
        <v>0</v>
      </c>
    </row>
    <row r="78" spans="1:15" x14ac:dyDescent="0.35">
      <c r="A78" s="13">
        <v>42856</v>
      </c>
      <c r="B78" s="14">
        <f>SUMIF('Dólar Spot'!$B:$B,$A78,'Dólar Spot'!$C:$C)/COUNTIF('Dólar Spot'!$B:$B,$A78)</f>
        <v>3.2087045454545451</v>
      </c>
      <c r="C78" s="7">
        <f>11-SUM(C$74:C77)</f>
        <v>2</v>
      </c>
      <c r="D78" s="7">
        <f>13650-SUM(D$74:D77)</f>
        <v>4700</v>
      </c>
      <c r="E78" s="7">
        <f t="shared" si="3"/>
        <v>15080.911363636362</v>
      </c>
      <c r="F78" s="7">
        <f t="shared" si="4"/>
        <v>7540.4556818181809</v>
      </c>
      <c r="G78" s="10">
        <v>0.11764705882352941</v>
      </c>
      <c r="H78" s="10">
        <f t="shared" si="5"/>
        <v>0.88235294117647056</v>
      </c>
      <c r="L78" s="10">
        <v>0.76470588235294112</v>
      </c>
      <c r="M78" s="10">
        <v>0</v>
      </c>
      <c r="N78" s="10">
        <v>0.11764705882352941</v>
      </c>
      <c r="O78" s="10">
        <v>0</v>
      </c>
    </row>
    <row r="79" spans="1:15" x14ac:dyDescent="0.35">
      <c r="A79" s="13">
        <v>42887</v>
      </c>
      <c r="B79" s="14">
        <f>SUMIF('Dólar Spot'!$B:$B,$A79,'Dólar Spot'!$C:$C)/COUNTIF('Dólar Spot'!$B:$B,$A79)</f>
        <v>3.2947666666666668</v>
      </c>
      <c r="C79" s="7">
        <f>12-SUM(C$74:C78)</f>
        <v>1</v>
      </c>
      <c r="D79" s="7">
        <f>14000-SUM(D$74:D78)</f>
        <v>350</v>
      </c>
      <c r="E79" s="7">
        <f t="shared" si="3"/>
        <v>1153.1683333333333</v>
      </c>
      <c r="F79" s="7">
        <f t="shared" si="4"/>
        <v>1153.1683333333333</v>
      </c>
      <c r="G79" s="10">
        <v>0.11764705882352941</v>
      </c>
      <c r="H79" s="10">
        <f t="shared" si="5"/>
        <v>0.88235294117647056</v>
      </c>
      <c r="L79" s="10">
        <v>0.76470588235294112</v>
      </c>
      <c r="M79" s="10">
        <v>0</v>
      </c>
      <c r="N79" s="10">
        <v>0.11764705882352941</v>
      </c>
      <c r="O79" s="10">
        <v>0</v>
      </c>
    </row>
    <row r="80" spans="1:15" x14ac:dyDescent="0.35">
      <c r="A80" s="13">
        <v>42917</v>
      </c>
      <c r="B80" s="14">
        <f>SUMIF('Dólar Spot'!$B:$B,$A80,'Dólar Spot'!$C:$C)/COUNTIF('Dólar Spot'!$B:$B,$A80)</f>
        <v>3.205538095238095</v>
      </c>
      <c r="C80" s="7">
        <f>13-SUM(C$74:C79)</f>
        <v>1</v>
      </c>
      <c r="D80" s="7">
        <f>14325-SUM(D$74:D79)</f>
        <v>325</v>
      </c>
      <c r="E80" s="7">
        <f t="shared" si="3"/>
        <v>1041.7998809523808</v>
      </c>
      <c r="F80" s="7">
        <f t="shared" si="4"/>
        <v>1041.7998809523808</v>
      </c>
      <c r="G80" s="10">
        <v>0.111</v>
      </c>
      <c r="H80" s="10">
        <f t="shared" si="5"/>
        <v>0.88900000000000001</v>
      </c>
      <c r="L80" s="10">
        <v>0.77800000000000002</v>
      </c>
      <c r="M80" s="10">
        <v>0</v>
      </c>
      <c r="N80" s="10">
        <v>0.111</v>
      </c>
      <c r="O80" s="10">
        <v>0</v>
      </c>
    </row>
    <row r="81" spans="1:15" x14ac:dyDescent="0.35">
      <c r="A81" s="13">
        <v>42948</v>
      </c>
      <c r="B81" s="14">
        <f>SUMIF('Dólar Spot'!$B:$B,$A81,'Dólar Spot'!$C:$C)/COUNTIF('Dólar Spot'!$B:$B,$A81)</f>
        <v>3.1503130434782607</v>
      </c>
      <c r="C81" s="7">
        <f>13-SUM(C$74:C80)</f>
        <v>0</v>
      </c>
      <c r="D81" s="7">
        <f>14325-SUM(D$74:D80)</f>
        <v>0</v>
      </c>
      <c r="E81" s="7">
        <f t="shared" si="3"/>
        <v>0</v>
      </c>
      <c r="F81" s="7">
        <f t="shared" si="4"/>
        <v>0</v>
      </c>
      <c r="G81" s="10">
        <v>0.1111111111111111</v>
      </c>
      <c r="H81" s="10">
        <f t="shared" si="5"/>
        <v>0.88888888888888884</v>
      </c>
      <c r="L81" s="10">
        <v>0.77777777777777779</v>
      </c>
      <c r="M81" s="10">
        <v>0</v>
      </c>
      <c r="N81" s="10">
        <v>0.1111111111111111</v>
      </c>
      <c r="O81" s="10">
        <v>0</v>
      </c>
    </row>
    <row r="82" spans="1:15" x14ac:dyDescent="0.35">
      <c r="A82" s="13">
        <v>42979</v>
      </c>
      <c r="B82" s="14">
        <f>SUMIF('Dólar Spot'!$B:$B,$A82,'Dólar Spot'!$C:$C)/COUNTIF('Dólar Spot'!$B:$B,$A82)</f>
        <v>3.1341899999999998</v>
      </c>
      <c r="C82" s="7">
        <f>17-SUM(C$74:C81)</f>
        <v>4</v>
      </c>
      <c r="D82" s="7">
        <f>17725-SUM(D$74:D81)</f>
        <v>3400</v>
      </c>
      <c r="E82" s="7">
        <f t="shared" si="3"/>
        <v>10656.245999999999</v>
      </c>
      <c r="F82" s="7">
        <f t="shared" si="4"/>
        <v>2664.0614999999998</v>
      </c>
      <c r="G82" s="10">
        <v>8.3333333333333329E-2</v>
      </c>
      <c r="H82" s="10">
        <f t="shared" si="5"/>
        <v>0.91666666666666663</v>
      </c>
      <c r="L82" s="10">
        <v>0.79166666666666663</v>
      </c>
      <c r="M82" s="10">
        <v>0</v>
      </c>
      <c r="N82" s="10">
        <v>0.125</v>
      </c>
      <c r="O82" s="10">
        <v>0</v>
      </c>
    </row>
    <row r="83" spans="1:15" x14ac:dyDescent="0.35">
      <c r="A83" s="13">
        <v>43009</v>
      </c>
      <c r="B83" s="14">
        <f>SUMIF('Dólar Spot'!$B:$B,$A83,'Dólar Spot'!$C:$C)/COUNTIF('Dólar Spot'!$B:$B,$A83)</f>
        <v>3.1906380952380951</v>
      </c>
      <c r="C83" s="7">
        <f>21-SUM(C$74:C82)</f>
        <v>4</v>
      </c>
      <c r="D83" s="7">
        <f>21525-SUM(D$74:D82)</f>
        <v>3800</v>
      </c>
      <c r="E83" s="7">
        <f t="shared" si="3"/>
        <v>12124.424761904762</v>
      </c>
      <c r="F83" s="7">
        <f t="shared" si="4"/>
        <v>3031.1061904761905</v>
      </c>
      <c r="G83" s="10">
        <v>0.1</v>
      </c>
      <c r="H83" s="10">
        <f t="shared" si="5"/>
        <v>0.9</v>
      </c>
      <c r="L83" s="10">
        <v>0.8</v>
      </c>
      <c r="M83" s="10">
        <v>0</v>
      </c>
      <c r="N83" s="10">
        <v>0.1</v>
      </c>
      <c r="O83" s="10">
        <v>0</v>
      </c>
    </row>
    <row r="84" spans="1:15" x14ac:dyDescent="0.35">
      <c r="A84" s="13">
        <v>43040</v>
      </c>
      <c r="B84" s="14">
        <f>SUMIF('Dólar Spot'!$B:$B,$A84,'Dólar Spot'!$C:$C)/COUNTIF('Dólar Spot'!$B:$B,$A84)</f>
        <v>3.2587350000000006</v>
      </c>
      <c r="C84" s="7">
        <f>22-SUM(C$74:C83)</f>
        <v>1</v>
      </c>
      <c r="D84" s="7">
        <f>22125-SUM(D$74:D83)</f>
        <v>600</v>
      </c>
      <c r="E84" s="7">
        <f t="shared" si="3"/>
        <v>1955.2410000000004</v>
      </c>
      <c r="F84" s="7">
        <f t="shared" si="4"/>
        <v>1955.2410000000004</v>
      </c>
      <c r="G84" s="10">
        <v>9.6774193548387094E-2</v>
      </c>
      <c r="H84" s="10">
        <f t="shared" si="5"/>
        <v>0.90322580645161288</v>
      </c>
      <c r="L84" s="10">
        <v>0.80645161290322576</v>
      </c>
      <c r="M84" s="10">
        <v>0</v>
      </c>
      <c r="N84" s="10">
        <v>9.6774193548387094E-2</v>
      </c>
      <c r="O84" s="10">
        <v>0</v>
      </c>
    </row>
    <row r="85" spans="1:15" s="19" customFormat="1" ht="15" thickBot="1" x14ac:dyDescent="0.4">
      <c r="A85" s="15">
        <v>43070</v>
      </c>
      <c r="B85" s="16">
        <f>SUMIF('Dólar Spot'!$B:$B,$A85,'Dólar Spot'!$C:$C)/COUNTIF('Dólar Spot'!$B:$B,$A85)</f>
        <v>3.2913100000000002</v>
      </c>
      <c r="C85" s="17">
        <f>25-SUM(C$74:C84)</f>
        <v>3</v>
      </c>
      <c r="D85" s="17">
        <f>23525-SUM(D$74:D84)</f>
        <v>1400</v>
      </c>
      <c r="E85" s="17">
        <f t="shared" si="3"/>
        <v>4607.8339999999998</v>
      </c>
      <c r="F85" s="17">
        <f t="shared" si="4"/>
        <v>1535.9446666666665</v>
      </c>
      <c r="G85" s="18">
        <v>0.10526315789473684</v>
      </c>
      <c r="H85" s="18">
        <f t="shared" si="5"/>
        <v>0.89473684210526316</v>
      </c>
      <c r="I85" s="18"/>
      <c r="J85" s="18"/>
      <c r="K85" s="18"/>
      <c r="L85" s="18">
        <v>0.76315789473684215</v>
      </c>
      <c r="M85" s="18">
        <v>0</v>
      </c>
      <c r="N85" s="18">
        <v>7.8947368421052627E-2</v>
      </c>
      <c r="O85" s="18">
        <v>5.2631578947368418E-2</v>
      </c>
    </row>
    <row r="86" spans="1:15" x14ac:dyDescent="0.35">
      <c r="A86" s="13">
        <v>43101</v>
      </c>
      <c r="B86" s="14">
        <f>SUMIF('Dólar Spot'!$B:$B,$A86,'Dólar Spot'!$C:$C)/COUNTIF('Dólar Spot'!$B:$B,$A86)</f>
        <v>3.2099863636363635</v>
      </c>
      <c r="C86" s="7">
        <v>5</v>
      </c>
      <c r="D86" s="7">
        <v>2900</v>
      </c>
      <c r="E86" s="7">
        <f t="shared" si="3"/>
        <v>9308.9604545454549</v>
      </c>
      <c r="F86" s="7">
        <f t="shared" si="4"/>
        <v>1861.792090909091</v>
      </c>
      <c r="G86" s="10">
        <v>0</v>
      </c>
      <c r="H86" s="10">
        <f t="shared" si="5"/>
        <v>1</v>
      </c>
      <c r="L86" s="10">
        <v>0.83333333333333337</v>
      </c>
      <c r="M86" s="10">
        <v>0</v>
      </c>
      <c r="N86" s="10">
        <v>0.16666666666666666</v>
      </c>
      <c r="O86" s="10">
        <v>0</v>
      </c>
    </row>
    <row r="87" spans="1:15" x14ac:dyDescent="0.35">
      <c r="A87" s="13">
        <v>43132</v>
      </c>
      <c r="B87" s="14">
        <f>SUMIF('Dólar Spot'!$B:$B,$A87,'Dólar Spot'!$C:$C)/COUNTIF('Dólar Spot'!$B:$B,$A87)</f>
        <v>3.2409055555555559</v>
      </c>
      <c r="C87" s="7">
        <f>10-C86</f>
        <v>5</v>
      </c>
      <c r="D87" s="7">
        <f>7050-D86</f>
        <v>4150</v>
      </c>
      <c r="E87" s="7">
        <f t="shared" si="3"/>
        <v>13449.758055555558</v>
      </c>
      <c r="F87" s="7">
        <f t="shared" si="4"/>
        <v>2689.9516111111116</v>
      </c>
      <c r="G87" s="10">
        <v>0.25</v>
      </c>
      <c r="H87" s="10">
        <f t="shared" si="5"/>
        <v>0.75</v>
      </c>
      <c r="L87" s="10">
        <v>0.58333333333333337</v>
      </c>
      <c r="M87" s="10">
        <v>8.3333333333333329E-2</v>
      </c>
      <c r="N87" s="10">
        <v>8.3333333333333329E-2</v>
      </c>
      <c r="O87" s="10">
        <v>0</v>
      </c>
    </row>
    <row r="88" spans="1:15" x14ac:dyDescent="0.35">
      <c r="A88" s="13">
        <v>43160</v>
      </c>
      <c r="B88" s="14">
        <f>SUMIF('Dólar Spot'!$B:$B,$A88,'Dólar Spot'!$C:$C)/COUNTIF('Dólar Spot'!$B:$B,$A88)</f>
        <v>3.2786142857142861</v>
      </c>
      <c r="C88" s="7">
        <f>10-SUM(C$86:C87)</f>
        <v>0</v>
      </c>
      <c r="D88" s="7">
        <f>7050-SUM(D$86:D87)</f>
        <v>0</v>
      </c>
      <c r="E88" s="7">
        <f t="shared" si="3"/>
        <v>0</v>
      </c>
      <c r="F88" s="7">
        <f t="shared" si="4"/>
        <v>0</v>
      </c>
      <c r="G88" s="10">
        <v>0.23076923076923078</v>
      </c>
      <c r="H88" s="10">
        <f t="shared" si="5"/>
        <v>0.76923076923076916</v>
      </c>
      <c r="L88" s="10">
        <v>0.53846153846153844</v>
      </c>
      <c r="M88" s="10">
        <v>7.6923076923076927E-2</v>
      </c>
      <c r="N88" s="10">
        <v>7.6923076923076927E-2</v>
      </c>
      <c r="O88" s="10">
        <v>7.6923076923076927E-2</v>
      </c>
    </row>
    <row r="89" spans="1:15" x14ac:dyDescent="0.35">
      <c r="A89" s="13">
        <v>43191</v>
      </c>
      <c r="B89" s="14">
        <f>SUMIF('Dólar Spot'!$B:$B,$A89,'Dólar Spot'!$C:$C)/COUNTIF('Dólar Spot'!$B:$B,$A89)</f>
        <v>3.4068999999999998</v>
      </c>
      <c r="C89" s="7">
        <f>11-SUM(C$86:C88)</f>
        <v>1</v>
      </c>
      <c r="D89" s="7">
        <f>7650-SUM(D$86:D88)</f>
        <v>600</v>
      </c>
      <c r="E89" s="7">
        <f t="shared" ref="E89:E96" si="6">D89*B89</f>
        <v>2044.1399999999999</v>
      </c>
      <c r="F89" s="7">
        <f t="shared" si="4"/>
        <v>2044.1399999999999</v>
      </c>
      <c r="G89" s="10">
        <v>0.26666666666666666</v>
      </c>
      <c r="H89" s="10">
        <f t="shared" si="5"/>
        <v>0.73333333333333339</v>
      </c>
      <c r="L89" s="10">
        <v>0.53333333333333333</v>
      </c>
      <c r="M89" s="10">
        <v>6.6666666666666666E-2</v>
      </c>
      <c r="N89" s="10">
        <v>6.6666666666666666E-2</v>
      </c>
      <c r="O89" s="10">
        <v>6.6666666666666666E-2</v>
      </c>
    </row>
    <row r="90" spans="1:15" x14ac:dyDescent="0.35">
      <c r="A90" s="13">
        <v>43221</v>
      </c>
      <c r="B90" s="14">
        <f>SUMIF('Dólar Spot'!$B:$B,$A90,'Dólar Spot'!$C:$C)/COUNTIF('Dólar Spot'!$B:$B,$A90)</f>
        <v>3.6354619047619035</v>
      </c>
      <c r="C90" s="7">
        <f>13-SUM(C$86:C89)</f>
        <v>2</v>
      </c>
      <c r="D90" s="7">
        <f>8450-SUM(D$86:D89)</f>
        <v>800</v>
      </c>
      <c r="E90" s="7">
        <f t="shared" si="6"/>
        <v>2908.3695238095229</v>
      </c>
      <c r="F90" s="7">
        <f t="shared" si="4"/>
        <v>1454.1847619047614</v>
      </c>
      <c r="G90" s="10">
        <v>0.27777777777777779</v>
      </c>
      <c r="H90" s="10">
        <f t="shared" si="5"/>
        <v>0.72222222222222221</v>
      </c>
      <c r="L90" s="10">
        <v>0.5</v>
      </c>
      <c r="M90" s="10">
        <v>0.1111111111111111</v>
      </c>
      <c r="N90" s="10">
        <v>5.5555555555555552E-2</v>
      </c>
      <c r="O90" s="10">
        <v>5.5555555555555552E-2</v>
      </c>
    </row>
    <row r="91" spans="1:15" x14ac:dyDescent="0.35">
      <c r="A91" s="13">
        <v>43252</v>
      </c>
      <c r="B91" s="14">
        <f>SUMIF('Dólar Spot'!$B:$B,$A91,'Dólar Spot'!$C:$C)/COUNTIF('Dólar Spot'!$B:$B,$A91)</f>
        <v>3.7725714285714296</v>
      </c>
      <c r="C91" s="7">
        <f>13-SUM(C$86:C90)</f>
        <v>0</v>
      </c>
      <c r="D91" s="7">
        <f>8450-SUM(D$86:D90)</f>
        <v>0</v>
      </c>
      <c r="E91" s="7">
        <f t="shared" si="6"/>
        <v>0</v>
      </c>
      <c r="F91" s="7">
        <f t="shared" si="4"/>
        <v>0</v>
      </c>
      <c r="G91" s="10">
        <v>0.27777777777777779</v>
      </c>
      <c r="H91" s="10">
        <f t="shared" si="5"/>
        <v>0.72222222222222221</v>
      </c>
      <c r="L91" s="10">
        <v>0.5</v>
      </c>
      <c r="M91" s="10">
        <v>0.1111111111111111</v>
      </c>
      <c r="N91" s="10">
        <v>5.5555555555555552E-2</v>
      </c>
      <c r="O91" s="10">
        <v>5.5555555555555552E-2</v>
      </c>
    </row>
    <row r="92" spans="1:15" x14ac:dyDescent="0.35">
      <c r="A92" s="13">
        <v>43282</v>
      </c>
      <c r="B92" s="14">
        <f>SUMIF('Dólar Spot'!$B:$B,$A92,'Dólar Spot'!$C:$C)/COUNTIF('Dólar Spot'!$B:$B,$A92)</f>
        <v>3.8281363636363634</v>
      </c>
      <c r="C92" s="7">
        <f>14-SUM(C$86:C91)</f>
        <v>1</v>
      </c>
      <c r="D92" s="7">
        <f>8950-SUM(D$86:D91)</f>
        <v>500</v>
      </c>
      <c r="E92" s="7">
        <f t="shared" si="6"/>
        <v>1914.0681818181818</v>
      </c>
      <c r="F92" s="7">
        <f t="shared" si="4"/>
        <v>1914.0681818181818</v>
      </c>
      <c r="G92" s="10">
        <v>0.26300000000000001</v>
      </c>
      <c r="H92" s="10">
        <f t="shared" si="5"/>
        <v>0.73699999999999999</v>
      </c>
      <c r="L92" s="10">
        <v>0.52600000000000002</v>
      </c>
      <c r="M92" s="10">
        <v>0.105</v>
      </c>
      <c r="N92" s="10">
        <v>5.2999999999999999E-2</v>
      </c>
      <c r="O92" s="10">
        <v>5.2999999999999999E-2</v>
      </c>
    </row>
    <row r="93" spans="1:15" x14ac:dyDescent="0.35">
      <c r="A93" s="13">
        <v>43313</v>
      </c>
      <c r="B93" s="14">
        <f>SUMIF('Dólar Spot'!$B:$B,$A93,'Dólar Spot'!$C:$C)/COUNTIF('Dólar Spot'!$B:$B,$A93)</f>
        <v>3.9291565217391313</v>
      </c>
      <c r="C93" s="7">
        <f>14-SUM(C$86:C92)</f>
        <v>0</v>
      </c>
      <c r="D93" s="7">
        <f>8950-SUM(D$86:D92)</f>
        <v>0</v>
      </c>
      <c r="E93" s="7">
        <f t="shared" si="6"/>
        <v>0</v>
      </c>
      <c r="F93" s="7">
        <f t="shared" si="4"/>
        <v>0</v>
      </c>
      <c r="G93" s="10">
        <v>0.26315789473684209</v>
      </c>
      <c r="H93" s="10">
        <f t="shared" si="5"/>
        <v>0.73684210526315796</v>
      </c>
      <c r="L93" s="10">
        <v>0.52631578947368418</v>
      </c>
      <c r="M93" s="10">
        <v>0.10526315789473684</v>
      </c>
      <c r="N93" s="10">
        <v>5.2631578947368418E-2</v>
      </c>
      <c r="O93" s="10">
        <v>5.2631578947368418E-2</v>
      </c>
    </row>
    <row r="94" spans="1:15" x14ac:dyDescent="0.35">
      <c r="A94" s="13">
        <v>43344</v>
      </c>
      <c r="B94" s="14">
        <f>SUMIF('Dólar Spot'!$B:$B,$A94,'Dólar Spot'!$C:$C)/COUNTIF('Dólar Spot'!$B:$B,$A94)</f>
        <v>4.1159473684210539</v>
      </c>
      <c r="C94" s="7">
        <f>15-SUM(C$86:C93)</f>
        <v>1</v>
      </c>
      <c r="D94" s="7">
        <f>9950-SUM(D$86:D93)</f>
        <v>1000</v>
      </c>
      <c r="E94" s="7">
        <f t="shared" si="6"/>
        <v>4115.9473684210543</v>
      </c>
      <c r="F94" s="7">
        <f t="shared" si="4"/>
        <v>4115.9473684210543</v>
      </c>
      <c r="G94" s="10">
        <v>0.25</v>
      </c>
      <c r="H94" s="10">
        <f t="shared" si="5"/>
        <v>0.75</v>
      </c>
      <c r="L94" s="10">
        <v>0.55000000000000004</v>
      </c>
      <c r="M94" s="10">
        <v>0.1</v>
      </c>
      <c r="N94" s="10">
        <v>0.05</v>
      </c>
      <c r="O94" s="10">
        <v>0.05</v>
      </c>
    </row>
    <row r="95" spans="1:15" x14ac:dyDescent="0.35">
      <c r="A95" s="13">
        <v>43374</v>
      </c>
      <c r="B95" s="14">
        <f>SUMIF('Dólar Spot'!$B:$B,$A95,'Dólar Spot'!$C:$C)/COUNTIF('Dólar Spot'!$B:$B,$A95)</f>
        <v>3.7578045454545457</v>
      </c>
      <c r="C95" s="7">
        <f>16-SUM(C$86:C94)</f>
        <v>1</v>
      </c>
      <c r="D95" s="7">
        <f>10450-SUM(D$86:D94)</f>
        <v>500</v>
      </c>
      <c r="E95" s="7">
        <f t="shared" si="6"/>
        <v>1878.9022727272729</v>
      </c>
      <c r="F95" s="7">
        <f t="shared" si="4"/>
        <v>1878.9022727272729</v>
      </c>
      <c r="G95" s="10">
        <v>0.23809523809523808</v>
      </c>
      <c r="H95" s="10">
        <f t="shared" si="5"/>
        <v>0.76190476190476186</v>
      </c>
      <c r="L95" s="10">
        <v>0.5714285714285714</v>
      </c>
      <c r="M95" s="10">
        <v>9.5238095238095233E-2</v>
      </c>
      <c r="N95" s="10">
        <v>4.7619047619047616E-2</v>
      </c>
      <c r="O95" s="10">
        <v>4.7619047619047616E-2</v>
      </c>
    </row>
    <row r="96" spans="1:15" x14ac:dyDescent="0.35">
      <c r="A96" s="13">
        <v>43405</v>
      </c>
      <c r="B96" s="14">
        <f>SUMIF('Dólar Spot'!$B:$B,$A96,'Dólar Spot'!$C:$C)/COUNTIF('Dólar Spot'!$B:$B,$A96)</f>
        <v>3.786014999999999</v>
      </c>
      <c r="C96" s="7">
        <f>17-SUM(C$86:C95)</f>
        <v>1</v>
      </c>
      <c r="D96" s="7">
        <f>10950-SUM(D$86:D95)</f>
        <v>500</v>
      </c>
      <c r="E96" s="7">
        <f t="shared" si="6"/>
        <v>1893.0074999999995</v>
      </c>
      <c r="F96" s="7">
        <f t="shared" si="4"/>
        <v>1893.0074999999995</v>
      </c>
      <c r="G96" s="10">
        <v>0.22727272727272727</v>
      </c>
      <c r="H96" s="10">
        <f t="shared" si="5"/>
        <v>0.77272727272727271</v>
      </c>
      <c r="L96" s="10">
        <v>0.54545454545454541</v>
      </c>
      <c r="M96" s="10">
        <v>9.0909090909090912E-2</v>
      </c>
      <c r="N96" s="10">
        <v>9.0909090909090912E-2</v>
      </c>
      <c r="O96" s="10">
        <v>4.5454545454545456E-2</v>
      </c>
    </row>
    <row r="97" spans="1:15" s="19" customFormat="1" ht="15" thickBot="1" x14ac:dyDescent="0.4">
      <c r="A97" s="15">
        <v>43435</v>
      </c>
      <c r="B97" s="16">
        <f>SUMIF('Dólar Spot'!$B:$B,$A97,'Dólar Spot'!$C:$C)/COUNTIF('Dólar Spot'!$B:$B,$A97)</f>
        <v>3.884405000000001</v>
      </c>
      <c r="C97" s="17">
        <f>17-SUM(C$86:C96)</f>
        <v>0</v>
      </c>
      <c r="D97" s="17">
        <f>10950-SUM(D$86:D96)</f>
        <v>0</v>
      </c>
      <c r="E97" s="17">
        <f t="shared" si="3"/>
        <v>0</v>
      </c>
      <c r="F97" s="17">
        <f t="shared" si="4"/>
        <v>0</v>
      </c>
      <c r="G97" s="18">
        <v>0.22727272727272727</v>
      </c>
      <c r="H97" s="18">
        <f t="shared" si="5"/>
        <v>0.77272727272727271</v>
      </c>
      <c r="I97" s="18"/>
      <c r="J97" s="18"/>
      <c r="K97" s="18"/>
      <c r="L97" s="18">
        <v>0.54545454545454541</v>
      </c>
      <c r="M97" s="18">
        <v>9.0909090909090912E-2</v>
      </c>
      <c r="N97" s="18">
        <v>9.0909090909090912E-2</v>
      </c>
      <c r="O97" s="18">
        <v>4.5454545454545456E-2</v>
      </c>
    </row>
    <row r="98" spans="1:15" x14ac:dyDescent="0.35">
      <c r="A98" s="13">
        <v>43466</v>
      </c>
      <c r="B98" s="14">
        <f>SUMIF('Dólar Spot'!$B:$B,$A98,'Dólar Spot'!$C:$C)/COUNTIF('Dólar Spot'!$B:$B,$A98)</f>
        <v>3.7410545454545456</v>
      </c>
      <c r="C98" s="7">
        <v>0</v>
      </c>
      <c r="D98" s="7">
        <v>0</v>
      </c>
      <c r="E98" s="7">
        <f t="shared" si="3"/>
        <v>0</v>
      </c>
      <c r="F98" s="7">
        <f t="shared" si="4"/>
        <v>0</v>
      </c>
      <c r="G98" s="10">
        <v>0</v>
      </c>
      <c r="H98" s="10">
        <f t="shared" si="5"/>
        <v>1</v>
      </c>
      <c r="L98" s="10">
        <v>0</v>
      </c>
      <c r="M98" s="10">
        <v>0</v>
      </c>
      <c r="N98" s="10">
        <v>0</v>
      </c>
      <c r="O98" s="10">
        <v>0</v>
      </c>
    </row>
    <row r="99" spans="1:15" x14ac:dyDescent="0.35">
      <c r="A99" s="13">
        <v>43497</v>
      </c>
      <c r="B99" s="14">
        <f>SUMIF('Dólar Spot'!$B:$B,$A99,'Dólar Spot'!$C:$C)/COUNTIF('Dólar Spot'!$B:$B,$A99)</f>
        <v>3.7230249999999998</v>
      </c>
      <c r="C99" s="7">
        <f>1-C98</f>
        <v>1</v>
      </c>
      <c r="D99" s="7">
        <f>750-D98</f>
        <v>750</v>
      </c>
      <c r="E99" s="7">
        <f t="shared" si="3"/>
        <v>2792.2687499999997</v>
      </c>
      <c r="F99" s="7">
        <f t="shared" si="4"/>
        <v>2792.2687499999997</v>
      </c>
      <c r="G99" s="10">
        <v>0</v>
      </c>
      <c r="H99" s="10">
        <f t="shared" si="5"/>
        <v>1</v>
      </c>
      <c r="L99" s="10">
        <v>1</v>
      </c>
      <c r="M99" s="10">
        <v>0</v>
      </c>
      <c r="N99" s="10">
        <v>0</v>
      </c>
      <c r="O99" s="10">
        <v>0</v>
      </c>
    </row>
    <row r="100" spans="1:15" x14ac:dyDescent="0.35">
      <c r="A100" s="13">
        <v>43525</v>
      </c>
      <c r="B100" s="14">
        <f>SUMIF('Dólar Spot'!$B:$B,$A100,'Dólar Spot'!$C:$C)/COUNTIF('Dólar Spot'!$B:$B,$A100)</f>
        <v>3.8458842105263158</v>
      </c>
      <c r="C100" s="7">
        <f>2-SUM(C$98:C99)</f>
        <v>1</v>
      </c>
      <c r="D100" s="7">
        <f>3750-SUM(D$98:D99)</f>
        <v>3000</v>
      </c>
      <c r="E100" s="7">
        <f t="shared" si="3"/>
        <v>11537.652631578947</v>
      </c>
      <c r="F100" s="7">
        <f t="shared" si="4"/>
        <v>11537.652631578947</v>
      </c>
      <c r="G100" s="10">
        <v>0.16666666666666699</v>
      </c>
      <c r="H100" s="10">
        <f t="shared" si="5"/>
        <v>0.83333333333333304</v>
      </c>
      <c r="L100" s="10">
        <v>0.66666666666666663</v>
      </c>
      <c r="M100" s="10">
        <v>0</v>
      </c>
      <c r="N100" s="10">
        <v>0.16666666666666666</v>
      </c>
      <c r="O100" s="10">
        <v>0</v>
      </c>
    </row>
    <row r="101" spans="1:15" x14ac:dyDescent="0.35">
      <c r="A101" s="13">
        <v>43556</v>
      </c>
      <c r="B101" s="14">
        <f>SUMIF('Dólar Spot'!$B:$B,$A101,'Dólar Spot'!$C:$C)/COUNTIF('Dólar Spot'!$B:$B,$A101)</f>
        <v>3.8955571428571423</v>
      </c>
      <c r="C101" s="7">
        <f>5-SUM(C$98:C100)</f>
        <v>3</v>
      </c>
      <c r="D101" s="7">
        <f>7250-SUM(D$98:D100)</f>
        <v>3500</v>
      </c>
      <c r="E101" s="7">
        <f t="shared" si="3"/>
        <v>13634.449999999997</v>
      </c>
      <c r="F101" s="7">
        <f t="shared" si="4"/>
        <v>4544.8166666666657</v>
      </c>
      <c r="G101" s="10">
        <v>0.16666666666666666</v>
      </c>
      <c r="H101" s="10">
        <f t="shared" si="5"/>
        <v>0.83333333333333337</v>
      </c>
      <c r="L101" s="10">
        <v>0.66666666666666663</v>
      </c>
      <c r="M101" s="10">
        <v>0</v>
      </c>
      <c r="N101" s="10">
        <v>0.16666666666666666</v>
      </c>
      <c r="O101" s="10">
        <v>0</v>
      </c>
    </row>
    <row r="102" spans="1:15" x14ac:dyDescent="0.35">
      <c r="A102" s="13">
        <v>43586</v>
      </c>
      <c r="B102" s="14">
        <f>SUMIF('Dólar Spot'!$B:$B,$A102,'Dólar Spot'!$C:$C)/COUNTIF('Dólar Spot'!$B:$B,$A102)</f>
        <v>4.0009181818181814</v>
      </c>
      <c r="C102" s="7">
        <f>6-SUM(C$98:C101)</f>
        <v>1</v>
      </c>
      <c r="D102" s="7">
        <f>7500-SUM(D$98:D101)</f>
        <v>250</v>
      </c>
      <c r="E102" s="7">
        <f t="shared" si="3"/>
        <v>1000.2295454545454</v>
      </c>
      <c r="F102" s="7">
        <f t="shared" si="4"/>
        <v>1000.2295454545454</v>
      </c>
      <c r="G102" s="10">
        <v>0.15384615384615385</v>
      </c>
      <c r="H102" s="10">
        <f t="shared" si="5"/>
        <v>0.84615384615384615</v>
      </c>
      <c r="L102" s="10">
        <v>0.53846153846153844</v>
      </c>
      <c r="M102" s="10">
        <v>7.6923076923076927E-2</v>
      </c>
      <c r="N102" s="10">
        <v>0.23076923076923078</v>
      </c>
      <c r="O102" s="10">
        <v>0</v>
      </c>
    </row>
    <row r="103" spans="1:15" x14ac:dyDescent="0.35">
      <c r="A103" s="13">
        <v>43617</v>
      </c>
      <c r="B103" s="14">
        <f>SUMIF('Dólar Spot'!$B:$B,$A103,'Dólar Spot'!$C:$C)/COUNTIF('Dólar Spot'!$B:$B,$A103)</f>
        <v>3.8582263157894734</v>
      </c>
      <c r="C103" s="7">
        <f>9-SUM(C$98:C102)</f>
        <v>3</v>
      </c>
      <c r="D103" s="7">
        <f>9175-SUM(D$98:D102)</f>
        <v>1675</v>
      </c>
      <c r="E103" s="7">
        <f t="shared" si="3"/>
        <v>6462.5290789473684</v>
      </c>
      <c r="F103" s="7">
        <f t="shared" si="4"/>
        <v>2154.1763596491228</v>
      </c>
      <c r="G103" s="10">
        <v>0.1875</v>
      </c>
      <c r="H103" s="10">
        <f t="shared" si="5"/>
        <v>0.8125</v>
      </c>
      <c r="L103" s="10">
        <v>0.5625</v>
      </c>
      <c r="M103" s="10">
        <v>6.25E-2</v>
      </c>
      <c r="N103" s="10">
        <v>0.1875</v>
      </c>
      <c r="O103" s="10">
        <v>0</v>
      </c>
    </row>
    <row r="104" spans="1:15" x14ac:dyDescent="0.35">
      <c r="A104" s="13">
        <v>43647</v>
      </c>
      <c r="B104" s="14">
        <f>SUMIF('Dólar Spot'!$B:$B,$A104,'Dólar Spot'!$C:$C)/COUNTIF('Dólar Spot'!$B:$B,$A104)</f>
        <v>3.7787130434782612</v>
      </c>
      <c r="C104" s="7">
        <f>13-SUM(C$98:C103)</f>
        <v>4</v>
      </c>
      <c r="D104" s="7">
        <f>11675-SUM(D$98:D103)</f>
        <v>2500</v>
      </c>
      <c r="E104" s="7">
        <f t="shared" si="3"/>
        <v>9446.7826086956538</v>
      </c>
      <c r="F104" s="7">
        <f t="shared" si="4"/>
        <v>2361.6956521739135</v>
      </c>
      <c r="G104" s="10">
        <v>0.1875</v>
      </c>
      <c r="H104" s="10">
        <f t="shared" si="5"/>
        <v>0.8125</v>
      </c>
      <c r="L104" s="10">
        <v>0.5625</v>
      </c>
      <c r="M104" s="10">
        <v>6.25E-2</v>
      </c>
      <c r="N104" s="10">
        <v>0.1875</v>
      </c>
      <c r="O104" s="10">
        <v>0</v>
      </c>
    </row>
    <row r="105" spans="1:15" x14ac:dyDescent="0.35">
      <c r="A105" s="13">
        <v>43678</v>
      </c>
      <c r="B105" s="14">
        <f>SUMIF('Dólar Spot'!$B:$B,$A105,'Dólar Spot'!$C:$C)/COUNTIF('Dólar Spot'!$B:$B,$A105)</f>
        <v>4.0193818181818175</v>
      </c>
      <c r="C105" s="7">
        <f>14-SUM(C$98:C104)</f>
        <v>1</v>
      </c>
      <c r="D105" s="7">
        <f>12175-SUM(D$98:D104)</f>
        <v>500</v>
      </c>
      <c r="E105" s="7">
        <f t="shared" si="3"/>
        <v>2009.6909090909087</v>
      </c>
      <c r="F105" s="7">
        <f t="shared" si="4"/>
        <v>2009.6909090909087</v>
      </c>
      <c r="G105" s="10">
        <v>0.14285714285714285</v>
      </c>
      <c r="H105" s="10">
        <f t="shared" si="5"/>
        <v>0.85714285714285721</v>
      </c>
      <c r="L105" s="10">
        <v>0.66666666666666663</v>
      </c>
      <c r="M105" s="10">
        <v>4.7619047619047616E-2</v>
      </c>
      <c r="N105" s="10">
        <v>0.14285714285714285</v>
      </c>
      <c r="O105" s="10">
        <v>0</v>
      </c>
    </row>
    <row r="106" spans="1:15" x14ac:dyDescent="0.35">
      <c r="A106" s="13">
        <v>43709</v>
      </c>
      <c r="B106" s="14">
        <f>SUMIF('Dólar Spot'!$B:$B,$A106,'Dólar Spot'!$C:$C)/COUNTIF('Dólar Spot'!$B:$B,$A106)</f>
        <v>4.1209000000000007</v>
      </c>
      <c r="C106" s="7">
        <f>16-SUM(C$98:C105)</f>
        <v>2</v>
      </c>
      <c r="D106" s="7">
        <f>13775-SUM(D$98:D105)</f>
        <v>1600</v>
      </c>
      <c r="E106" s="7">
        <f t="shared" si="3"/>
        <v>6593.4400000000014</v>
      </c>
      <c r="F106" s="7">
        <f t="shared" si="4"/>
        <v>3296.7200000000007</v>
      </c>
      <c r="G106" s="10">
        <v>0.20833333333333334</v>
      </c>
      <c r="H106" s="10">
        <f t="shared" si="5"/>
        <v>0.79166666666666663</v>
      </c>
      <c r="L106" s="10">
        <v>0.625</v>
      </c>
      <c r="M106" s="10">
        <v>4.1666666666666664E-2</v>
      </c>
      <c r="N106" s="10">
        <v>0.125</v>
      </c>
      <c r="O106" s="10">
        <v>0</v>
      </c>
    </row>
    <row r="107" spans="1:15" x14ac:dyDescent="0.35">
      <c r="A107" s="13">
        <v>43739</v>
      </c>
      <c r="B107" s="14">
        <f>SUMIF('Dólar Spot'!$B:$B,$A107,'Dólar Spot'!$C:$C)/COUNTIF('Dólar Spot'!$B:$B,$A107)</f>
        <v>4.0863869565217401</v>
      </c>
      <c r="C107" s="7">
        <f>17-SUM(C$98:C106)</f>
        <v>1</v>
      </c>
      <c r="D107" s="7">
        <f>14195-SUM(D$98:D106)</f>
        <v>420</v>
      </c>
      <c r="E107" s="7">
        <f t="shared" si="3"/>
        <v>1716.2825217391307</v>
      </c>
      <c r="F107" s="7">
        <f t="shared" si="4"/>
        <v>1716.2825217391307</v>
      </c>
      <c r="G107" s="10">
        <v>0.2</v>
      </c>
      <c r="H107" s="10">
        <f t="shared" si="5"/>
        <v>0.8</v>
      </c>
      <c r="L107" s="10">
        <v>0.64</v>
      </c>
      <c r="M107" s="10">
        <v>0.04</v>
      </c>
      <c r="N107" s="10">
        <v>0.12</v>
      </c>
      <c r="O107" s="10">
        <v>0</v>
      </c>
    </row>
    <row r="108" spans="1:15" x14ac:dyDescent="0.35">
      <c r="A108" s="13">
        <v>43770</v>
      </c>
      <c r="B108" s="14">
        <f>SUMIF('Dólar Spot'!$B:$B,$A108,'Dólar Spot'!$C:$C)/COUNTIF('Dólar Spot'!$B:$B,$A108)</f>
        <v>4.1547249999999991</v>
      </c>
      <c r="C108" s="7">
        <f>18-SUM(C$98:C107)</f>
        <v>1</v>
      </c>
      <c r="D108" s="7">
        <f>16095-SUM(D$98:D107)</f>
        <v>1900</v>
      </c>
      <c r="E108" s="7">
        <f t="shared" si="3"/>
        <v>7893.9774999999981</v>
      </c>
      <c r="F108" s="7">
        <f t="shared" si="4"/>
        <v>7893.9774999999981</v>
      </c>
      <c r="G108" s="10">
        <v>0.16129032258064516</v>
      </c>
      <c r="H108" s="10">
        <f t="shared" si="5"/>
        <v>0.83870967741935487</v>
      </c>
      <c r="L108" s="10">
        <v>0.64516129032258063</v>
      </c>
      <c r="M108" s="10">
        <v>3.2258064516129031E-2</v>
      </c>
      <c r="N108" s="10">
        <v>0.16129032258064516</v>
      </c>
      <c r="O108" s="10">
        <v>0</v>
      </c>
    </row>
    <row r="109" spans="1:15" s="19" customFormat="1" ht="15" thickBot="1" x14ac:dyDescent="0.4">
      <c r="A109" s="15">
        <v>43800</v>
      </c>
      <c r="B109" s="16">
        <f>SUMIF('Dólar Spot'!$B:$B,$A109,'Dólar Spot'!$C:$C)/COUNTIF('Dólar Spot'!$B:$B,$A109)</f>
        <v>4.1089238095238088</v>
      </c>
      <c r="C109" s="17">
        <f>19-SUM(C$98:C108)</f>
        <v>1</v>
      </c>
      <c r="D109" s="17">
        <f>16209-SUM(D$98:D108)</f>
        <v>114</v>
      </c>
      <c r="E109" s="17">
        <f t="shared" si="3"/>
        <v>468.41731428571421</v>
      </c>
      <c r="F109" s="17">
        <f t="shared" si="4"/>
        <v>468.41731428571421</v>
      </c>
      <c r="G109" s="18">
        <v>0.21212121212121213</v>
      </c>
      <c r="H109" s="18">
        <f t="shared" si="5"/>
        <v>0.78787878787878785</v>
      </c>
      <c r="I109" s="18"/>
      <c r="J109" s="18"/>
      <c r="K109" s="18"/>
      <c r="L109" s="18">
        <v>0.60606060606060608</v>
      </c>
      <c r="M109" s="18">
        <v>3.0303030303030304E-2</v>
      </c>
      <c r="N109" s="18">
        <v>0.15151515151515152</v>
      </c>
      <c r="O109" s="18">
        <v>0</v>
      </c>
    </row>
    <row r="110" spans="1:15" x14ac:dyDescent="0.35">
      <c r="A110" s="13">
        <v>43831</v>
      </c>
      <c r="B110" s="14">
        <f>SUMIF('Dólar Spot'!$B:$B,$A110,'Dólar Spot'!$C:$C)/COUNTIF('Dólar Spot'!$B:$B,$A110)</f>
        <v>4.1488636363636369</v>
      </c>
      <c r="C110" s="7">
        <v>4</v>
      </c>
      <c r="D110" s="7">
        <v>2550</v>
      </c>
      <c r="E110" s="7">
        <f t="shared" si="3"/>
        <v>10579.602272727274</v>
      </c>
      <c r="F110" s="7">
        <f t="shared" si="4"/>
        <v>2644.9005681818185</v>
      </c>
      <c r="G110" s="10">
        <v>0.25</v>
      </c>
      <c r="H110" s="10">
        <f t="shared" si="5"/>
        <v>0.75</v>
      </c>
      <c r="L110" s="10">
        <v>0.625</v>
      </c>
      <c r="M110" s="10">
        <v>0</v>
      </c>
      <c r="N110" s="10">
        <v>0.125</v>
      </c>
      <c r="O110" s="10">
        <v>0</v>
      </c>
    </row>
    <row r="111" spans="1:15" x14ac:dyDescent="0.35">
      <c r="A111" s="13">
        <v>43862</v>
      </c>
      <c r="B111" s="14">
        <f>SUMIF('Dólar Spot'!$B:$B,$A111,'Dólar Spot'!$C:$C)/COUNTIF('Dólar Spot'!$B:$B,$A111)</f>
        <v>4.340411111111111</v>
      </c>
      <c r="C111" s="7">
        <f>6-C110</f>
        <v>2</v>
      </c>
      <c r="D111" s="7">
        <f>4150-D110</f>
        <v>1600</v>
      </c>
      <c r="E111" s="7">
        <f t="shared" si="3"/>
        <v>6944.6577777777775</v>
      </c>
      <c r="F111" s="7">
        <f t="shared" si="4"/>
        <v>3472.3288888888887</v>
      </c>
      <c r="G111" s="10">
        <v>0.25</v>
      </c>
      <c r="H111" s="10">
        <f t="shared" si="5"/>
        <v>0.75</v>
      </c>
      <c r="L111" s="10">
        <v>0.58333333333333337</v>
      </c>
      <c r="M111" s="10">
        <v>0</v>
      </c>
      <c r="N111" s="10">
        <v>8.3333333333333329E-2</v>
      </c>
      <c r="O111" s="10">
        <v>8.3333333333333329E-2</v>
      </c>
    </row>
    <row r="112" spans="1:15" x14ac:dyDescent="0.35">
      <c r="A112" s="13">
        <v>43891</v>
      </c>
      <c r="B112" s="14">
        <f>SUMIF('Dólar Spot'!$B:$B,$A112,'Dólar Spot'!$C:$C)/COUNTIF('Dólar Spot'!$B:$B,$A112)</f>
        <v>4.8832181818181812</v>
      </c>
      <c r="C112" s="7">
        <f>6-SUM(C$110:C111)</f>
        <v>0</v>
      </c>
      <c r="D112" s="7">
        <f>4150-SUM(D$110:D111)</f>
        <v>0</v>
      </c>
      <c r="E112" s="7">
        <f t="shared" si="3"/>
        <v>0</v>
      </c>
      <c r="F112" s="7">
        <f t="shared" si="4"/>
        <v>0</v>
      </c>
      <c r="G112" s="10">
        <v>0.30769230769230771</v>
      </c>
      <c r="H112" s="10">
        <f t="shared" si="5"/>
        <v>0.69230769230769229</v>
      </c>
      <c r="L112" s="10">
        <v>0.53846153846153844</v>
      </c>
      <c r="M112" s="10">
        <v>0</v>
      </c>
      <c r="N112" s="10">
        <v>7.6923076923076927E-2</v>
      </c>
      <c r="O112" s="10">
        <v>7.6923076923076927E-2</v>
      </c>
    </row>
    <row r="113" spans="1:15" x14ac:dyDescent="0.35">
      <c r="A113" s="13">
        <v>43922</v>
      </c>
      <c r="B113" s="14">
        <f>SUMIF('Dólar Spot'!$B:$B,$A113,'Dólar Spot'!$C:$C)/COUNTIF('Dólar Spot'!$B:$B,$A113)</f>
        <v>5.3249849999999999</v>
      </c>
      <c r="C113" s="7">
        <f>6-SUM(C$110:C112)</f>
        <v>0</v>
      </c>
      <c r="D113" s="7">
        <f>4150-SUM(D$110:D112)</f>
        <v>0</v>
      </c>
      <c r="E113" s="7">
        <f t="shared" si="3"/>
        <v>0</v>
      </c>
      <c r="F113" s="7">
        <f t="shared" si="4"/>
        <v>0</v>
      </c>
      <c r="G113" s="10">
        <v>0.30769230769230771</v>
      </c>
      <c r="H113" s="10">
        <f t="shared" si="5"/>
        <v>0.69230769230769229</v>
      </c>
      <c r="L113" s="10">
        <v>0.53846153846153844</v>
      </c>
      <c r="M113" s="10">
        <v>0</v>
      </c>
      <c r="N113" s="10">
        <v>7.6923076923076927E-2</v>
      </c>
      <c r="O113" s="10">
        <v>7.6923076923076927E-2</v>
      </c>
    </row>
    <row r="114" spans="1:15" x14ac:dyDescent="0.35">
      <c r="A114" s="13">
        <v>43952</v>
      </c>
      <c r="B114" s="14">
        <f>SUMIF('Dólar Spot'!$B:$B,$A114,'Dólar Spot'!$C:$C)/COUNTIF('Dólar Spot'!$B:$B,$A114)</f>
        <v>5.642850000000001</v>
      </c>
      <c r="C114" s="7">
        <f>6-SUM(C$110:C113)</f>
        <v>0</v>
      </c>
      <c r="D114" s="7">
        <f>4150-SUM(D$110:D113)</f>
        <v>0</v>
      </c>
      <c r="E114" s="7">
        <f t="shared" si="3"/>
        <v>0</v>
      </c>
      <c r="F114" s="7">
        <f t="shared" si="4"/>
        <v>0</v>
      </c>
      <c r="G114" s="10">
        <v>0.30769230769230771</v>
      </c>
      <c r="H114" s="10">
        <f t="shared" si="5"/>
        <v>0.69230769230769229</v>
      </c>
      <c r="L114" s="10">
        <v>0.53846153846153844</v>
      </c>
      <c r="M114" s="10">
        <v>0</v>
      </c>
      <c r="N114" s="10">
        <v>7.6923076923076927E-2</v>
      </c>
      <c r="O114" s="10">
        <v>7.6923076923076927E-2</v>
      </c>
    </row>
    <row r="115" spans="1:15" x14ac:dyDescent="0.35">
      <c r="A115" s="13">
        <v>43983</v>
      </c>
      <c r="B115" s="14">
        <f>SUMIF('Dólar Spot'!$B:$B,$A115,'Dólar Spot'!$C:$C)/COUNTIF('Dólar Spot'!$B:$B,$A115)</f>
        <v>5.1959952380952386</v>
      </c>
      <c r="C115" s="7">
        <f>7-SUM(C$110:C114)</f>
        <v>1</v>
      </c>
      <c r="D115" s="7">
        <f>7400-SUM(D$110:D114)</f>
        <v>3250</v>
      </c>
      <c r="E115" s="7">
        <f t="shared" si="3"/>
        <v>16886.984523809526</v>
      </c>
      <c r="F115" s="7">
        <f t="shared" si="4"/>
        <v>16886.984523809526</v>
      </c>
      <c r="G115" s="10">
        <v>0.29411764705882354</v>
      </c>
      <c r="H115" s="10">
        <f t="shared" si="5"/>
        <v>0.70588235294117641</v>
      </c>
      <c r="L115" s="10">
        <v>0.47058823529411764</v>
      </c>
      <c r="M115" s="10">
        <v>5.8823529411764705E-2</v>
      </c>
      <c r="N115" s="10">
        <v>0.11764705882352941</v>
      </c>
      <c r="O115" s="10">
        <v>5.8823529411764705E-2</v>
      </c>
    </row>
    <row r="116" spans="1:15" x14ac:dyDescent="0.35">
      <c r="A116" s="13">
        <v>44013</v>
      </c>
      <c r="B116" s="14">
        <f>SUMIF('Dólar Spot'!$B:$B,$A116,'Dólar Spot'!$C:$C)/COUNTIF('Dólar Spot'!$B:$B,$A116)</f>
        <v>5.2795956521739127</v>
      </c>
      <c r="C116" s="7">
        <f>13-SUM(C$110:C115)</f>
        <v>6</v>
      </c>
      <c r="D116" s="7">
        <f>10605-SUM(D$110:D115)</f>
        <v>3205</v>
      </c>
      <c r="E116" s="7">
        <f t="shared" si="3"/>
        <v>16921.104065217391</v>
      </c>
      <c r="F116" s="7">
        <f t="shared" si="4"/>
        <v>2820.1840108695651</v>
      </c>
      <c r="G116" s="10">
        <v>0.29166666666666669</v>
      </c>
      <c r="H116" s="10">
        <f t="shared" si="5"/>
        <v>0.70833333333333326</v>
      </c>
      <c r="L116" s="10">
        <v>0.5</v>
      </c>
      <c r="M116" s="10">
        <v>4.1666666666666664E-2</v>
      </c>
      <c r="N116" s="10">
        <v>0.125</v>
      </c>
      <c r="O116" s="10">
        <v>4.1666666666666664E-2</v>
      </c>
    </row>
    <row r="117" spans="1:15" x14ac:dyDescent="0.35">
      <c r="A117" s="13">
        <v>44044</v>
      </c>
      <c r="B117" s="14">
        <f>SUMIF('Dólar Spot'!$B:$B,$A117,'Dólar Spot'!$C:$C)/COUNTIF('Dólar Spot'!$B:$B,$A117)</f>
        <v>5.460633333333333</v>
      </c>
      <c r="C117" s="7">
        <f>13-SUM(C$110:C116)</f>
        <v>0</v>
      </c>
      <c r="D117" s="7">
        <f>10605-SUM(D$110:D116)</f>
        <v>0</v>
      </c>
      <c r="E117" s="7">
        <f t="shared" si="3"/>
        <v>0</v>
      </c>
      <c r="F117" s="7">
        <f t="shared" si="4"/>
        <v>0</v>
      </c>
      <c r="G117" s="10">
        <v>0.29166666666666669</v>
      </c>
      <c r="H117" s="10">
        <f t="shared" si="5"/>
        <v>0.70833333333333326</v>
      </c>
      <c r="L117" s="10">
        <v>0.5</v>
      </c>
      <c r="M117" s="10">
        <v>4.1666666666666664E-2</v>
      </c>
      <c r="N117" s="10">
        <v>0.125</v>
      </c>
      <c r="O117" s="10">
        <v>4.1666666666666664E-2</v>
      </c>
    </row>
    <row r="118" spans="1:15" x14ac:dyDescent="0.35">
      <c r="A118" s="13">
        <v>44075</v>
      </c>
      <c r="B118" s="14">
        <f>SUMIF('Dólar Spot'!$B:$B,$A118,'Dólar Spot'!$C:$C)/COUNTIF('Dólar Spot'!$B:$B,$A118)</f>
        <v>5.398880952380952</v>
      </c>
      <c r="C118" s="7">
        <f>16-SUM(C$110:C117)</f>
        <v>3</v>
      </c>
      <c r="D118" s="7">
        <f>12605-SUM(D$110:D117)</f>
        <v>2000</v>
      </c>
      <c r="E118" s="7">
        <f t="shared" si="3"/>
        <v>10797.761904761905</v>
      </c>
      <c r="F118" s="7">
        <f t="shared" si="4"/>
        <v>3599.2539682539682</v>
      </c>
      <c r="G118" s="10">
        <v>0.29629629629629628</v>
      </c>
      <c r="H118" s="10">
        <f t="shared" si="5"/>
        <v>0.70370370370370372</v>
      </c>
      <c r="L118" s="10">
        <v>0.48148148148148145</v>
      </c>
      <c r="M118" s="10">
        <v>3.7037037037037035E-2</v>
      </c>
      <c r="N118" s="10">
        <v>0.14814814814814814</v>
      </c>
      <c r="O118" s="10">
        <v>3.7037037037037035E-2</v>
      </c>
    </row>
    <row r="119" spans="1:15" x14ac:dyDescent="0.35">
      <c r="A119" s="13">
        <v>44105</v>
      </c>
      <c r="B119" s="14">
        <f>SUMIF('Dólar Spot'!$B:$B,$A119,'Dólar Spot'!$C:$C)/COUNTIF('Dólar Spot'!$B:$B,$A119)</f>
        <v>5.6251904761904772</v>
      </c>
      <c r="C119" s="7">
        <f>18-SUM(C$110:C118)</f>
        <v>2</v>
      </c>
      <c r="D119" s="7">
        <f>14105-SUM(D$110:D118)</f>
        <v>1500</v>
      </c>
      <c r="E119" s="7">
        <f t="shared" si="3"/>
        <v>8437.7857142857156</v>
      </c>
      <c r="F119" s="7">
        <f t="shared" si="4"/>
        <v>4218.8928571428578</v>
      </c>
      <c r="G119" s="10">
        <v>0.27586206896551724</v>
      </c>
      <c r="H119" s="10">
        <f t="shared" si="5"/>
        <v>0.72413793103448276</v>
      </c>
      <c r="L119" s="10">
        <v>0.51724137931034486</v>
      </c>
      <c r="M119" s="10">
        <v>3.4482758620689655E-2</v>
      </c>
      <c r="N119" s="10">
        <v>0.13793103448275862</v>
      </c>
      <c r="O119" s="10">
        <v>3.4482758620689655E-2</v>
      </c>
    </row>
    <row r="120" spans="1:15" x14ac:dyDescent="0.35">
      <c r="A120" s="13">
        <v>44136</v>
      </c>
      <c r="B120" s="14">
        <f>SUMIF('Dólar Spot'!$B:$B,$A120,'Dólar Spot'!$C:$C)/COUNTIF('Dólar Spot'!$B:$B,$A120)</f>
        <v>5.4172349999999998</v>
      </c>
      <c r="C120" s="7">
        <f>21-SUM(C$110:C119)</f>
        <v>3</v>
      </c>
      <c r="D120" s="7">
        <f>15405-SUM(D$110:D119)</f>
        <v>1300</v>
      </c>
      <c r="E120" s="7">
        <f t="shared" si="3"/>
        <v>7042.4054999999998</v>
      </c>
      <c r="F120" s="7">
        <f t="shared" si="4"/>
        <v>2347.4684999999999</v>
      </c>
      <c r="G120" s="10">
        <v>0.27272727272727271</v>
      </c>
      <c r="H120" s="10">
        <f t="shared" si="5"/>
        <v>0.72727272727272729</v>
      </c>
      <c r="L120" s="10">
        <v>0.54545454545454541</v>
      </c>
      <c r="M120" s="10">
        <v>3.0303030303030304E-2</v>
      </c>
      <c r="N120" s="10">
        <v>0.12121212121212122</v>
      </c>
      <c r="O120" s="10">
        <v>3.0303030303030304E-2</v>
      </c>
    </row>
    <row r="121" spans="1:15" s="19" customFormat="1" ht="15" thickBot="1" x14ac:dyDescent="0.4">
      <c r="A121" s="15">
        <v>44166</v>
      </c>
      <c r="B121" s="16">
        <f>SUMIF('Dólar Spot'!$B:$B,$A121,'Dólar Spot'!$C:$C)/COUNTIF('Dólar Spot'!$B:$B,$A121)</f>
        <v>5.1449454545454545</v>
      </c>
      <c r="C121" s="17">
        <f>22-SUM(C$110:C120)</f>
        <v>1</v>
      </c>
      <c r="D121" s="17">
        <f>16055-SUM(D$110:D120)</f>
        <v>650</v>
      </c>
      <c r="E121" s="17">
        <f t="shared" si="3"/>
        <v>3344.2145454545453</v>
      </c>
      <c r="F121" s="17">
        <f t="shared" si="4"/>
        <v>3344.2145454545453</v>
      </c>
      <c r="G121" s="18">
        <v>0.27777777777777779</v>
      </c>
      <c r="H121" s="18">
        <f t="shared" si="5"/>
        <v>0.72222222222222221</v>
      </c>
      <c r="I121" s="18"/>
      <c r="J121" s="18"/>
      <c r="K121" s="18"/>
      <c r="L121" s="18">
        <v>0.52777777777777779</v>
      </c>
      <c r="M121" s="18">
        <v>2.7777777777777776E-2</v>
      </c>
      <c r="N121" s="18">
        <v>0.1388888888888889</v>
      </c>
      <c r="O121" s="18">
        <v>2.7777777777777776E-2</v>
      </c>
    </row>
    <row r="122" spans="1:15" x14ac:dyDescent="0.35">
      <c r="A122" s="13">
        <v>44197</v>
      </c>
      <c r="B122" s="14">
        <f>SUMIF('Dólar Spot'!$B:$B,$A122,'Dólar Spot'!$C:$C)/COUNTIF('Dólar Spot'!$B:$B,$A122)</f>
        <v>5.3555999999999999</v>
      </c>
      <c r="C122" s="7">
        <v>3</v>
      </c>
      <c r="D122" s="7">
        <v>2725</v>
      </c>
      <c r="E122" s="7">
        <f t="shared" si="3"/>
        <v>14594.01</v>
      </c>
      <c r="F122" s="7">
        <f t="shared" si="4"/>
        <v>4864.67</v>
      </c>
      <c r="G122" s="10">
        <v>0.14285714285714285</v>
      </c>
      <c r="H122" s="10">
        <f t="shared" si="5"/>
        <v>0.85714285714285721</v>
      </c>
      <c r="L122" s="10">
        <v>0.8571428571428571</v>
      </c>
      <c r="M122" s="10">
        <v>0</v>
      </c>
      <c r="N122" s="10">
        <v>0</v>
      </c>
      <c r="O122" s="10">
        <v>0</v>
      </c>
    </row>
    <row r="123" spans="1:15" x14ac:dyDescent="0.35">
      <c r="A123" s="13">
        <v>44228</v>
      </c>
      <c r="B123" s="14">
        <f>SUMIF('Dólar Spot'!$B:$B,$A123,'Dólar Spot'!$C:$C)/COUNTIF('Dólar Spot'!$B:$B,$A123)</f>
        <v>5.4158944444444446</v>
      </c>
      <c r="C123" s="7">
        <f>7-C122</f>
        <v>4</v>
      </c>
      <c r="D123" s="7">
        <f>4100-D122</f>
        <v>1375</v>
      </c>
      <c r="E123" s="7">
        <f t="shared" si="3"/>
        <v>7446.8548611111109</v>
      </c>
      <c r="F123" s="7">
        <f t="shared" si="4"/>
        <v>1861.7137152777777</v>
      </c>
      <c r="G123" s="10">
        <v>0.1</v>
      </c>
      <c r="H123" s="10">
        <f t="shared" si="5"/>
        <v>0.9</v>
      </c>
      <c r="L123" s="10">
        <v>0.9</v>
      </c>
      <c r="M123" s="10">
        <v>0</v>
      </c>
      <c r="N123" s="10">
        <v>0</v>
      </c>
      <c r="O123" s="10">
        <v>0</v>
      </c>
    </row>
    <row r="124" spans="1:15" x14ac:dyDescent="0.35">
      <c r="A124" s="13">
        <v>44256</v>
      </c>
      <c r="B124" s="14">
        <f>SUMIF('Dólar Spot'!$B:$B,$A124,'Dólar Spot'!$C:$C)/COUNTIF('Dólar Spot'!$B:$B,$A124)</f>
        <v>5.6455478260869576</v>
      </c>
      <c r="C124" s="7">
        <f>9-SUM(C$122:C123)</f>
        <v>2</v>
      </c>
      <c r="D124" s="7">
        <f>5600-SUM(D$122:D123)</f>
        <v>1500</v>
      </c>
      <c r="E124" s="7">
        <f t="shared" si="3"/>
        <v>8468.321739130437</v>
      </c>
      <c r="F124" s="7">
        <f t="shared" si="4"/>
        <v>4234.1608695652185</v>
      </c>
      <c r="G124" s="10">
        <v>0.16666666666666666</v>
      </c>
      <c r="H124" s="10">
        <f t="shared" si="5"/>
        <v>0.83333333333333337</v>
      </c>
      <c r="L124" s="10">
        <v>0.83333333333333337</v>
      </c>
      <c r="M124" s="10">
        <v>0</v>
      </c>
      <c r="N124" s="10">
        <v>0</v>
      </c>
      <c r="O124" s="10">
        <v>0</v>
      </c>
    </row>
    <row r="125" spans="1:15" x14ac:dyDescent="0.35">
      <c r="A125" s="13">
        <v>44287</v>
      </c>
      <c r="B125" s="14">
        <f>SUMIF('Dólar Spot'!$B:$B,$A125,'Dólar Spot'!$C:$C)/COUNTIF('Dólar Spot'!$B:$B,$A125)</f>
        <v>5.561535000000001</v>
      </c>
      <c r="C125" s="7">
        <f>9-SUM(C$122:C124)</f>
        <v>0</v>
      </c>
      <c r="D125" s="7">
        <f>5600-SUM(D$122:D124)</f>
        <v>0</v>
      </c>
      <c r="E125" s="7">
        <f t="shared" si="3"/>
        <v>0</v>
      </c>
      <c r="F125" s="7">
        <f t="shared" si="4"/>
        <v>0</v>
      </c>
      <c r="G125" s="10">
        <v>0.16666666666666666</v>
      </c>
      <c r="H125" s="10">
        <f t="shared" si="5"/>
        <v>0.83333333333333337</v>
      </c>
      <c r="L125" s="10">
        <v>0.83333333333333337</v>
      </c>
      <c r="M125" s="10">
        <v>0</v>
      </c>
      <c r="N125" s="10">
        <v>0</v>
      </c>
      <c r="O125" s="10">
        <v>0</v>
      </c>
    </row>
    <row r="126" spans="1:15" x14ac:dyDescent="0.35">
      <c r="A126" s="13">
        <v>44317</v>
      </c>
      <c r="B126" s="14">
        <f>SUMIF('Dólar Spot'!$B:$B,$A126,'Dólar Spot'!$C:$C)/COUNTIF('Dólar Spot'!$B:$B,$A126)</f>
        <v>5.2907428571428579</v>
      </c>
      <c r="C126" s="7">
        <f>11-SUM(C$122:C125)</f>
        <v>2</v>
      </c>
      <c r="D126" s="7">
        <f>7000-SUM(D$122:D125)</f>
        <v>1400</v>
      </c>
      <c r="E126" s="7">
        <f t="shared" si="3"/>
        <v>7407.0400000000009</v>
      </c>
      <c r="F126" s="7">
        <f t="shared" si="4"/>
        <v>3703.5200000000004</v>
      </c>
      <c r="G126" s="10">
        <v>0.14285714285714285</v>
      </c>
      <c r="H126" s="10">
        <f t="shared" si="5"/>
        <v>0.85714285714285721</v>
      </c>
      <c r="L126" s="10">
        <v>0.8571428571428571</v>
      </c>
      <c r="M126" s="10">
        <v>0</v>
      </c>
      <c r="N126" s="10">
        <v>0</v>
      </c>
      <c r="O126" s="10">
        <v>0</v>
      </c>
    </row>
    <row r="127" spans="1:15" x14ac:dyDescent="0.35">
      <c r="A127" s="13">
        <v>44348</v>
      </c>
      <c r="B127" s="14">
        <f>SUMIF('Dólar Spot'!$B:$B,$A127,'Dólar Spot'!$C:$C)/COUNTIF('Dólar Spot'!$B:$B,$A127)</f>
        <v>5.0370499999999998</v>
      </c>
      <c r="C127" s="7">
        <f>17-SUM(C$122:C126)</f>
        <v>6</v>
      </c>
      <c r="D127" s="7">
        <f>12250-SUM(D$122:D126)</f>
        <v>5250</v>
      </c>
      <c r="E127" s="7">
        <f t="shared" si="3"/>
        <v>26444.512500000001</v>
      </c>
      <c r="F127" s="7">
        <f t="shared" si="4"/>
        <v>4407.4187499999998</v>
      </c>
      <c r="G127" s="10">
        <v>0.25</v>
      </c>
      <c r="H127" s="10">
        <f t="shared" si="5"/>
        <v>0.75</v>
      </c>
      <c r="L127" s="10">
        <v>0.65</v>
      </c>
      <c r="M127" s="10">
        <v>0.05</v>
      </c>
      <c r="N127" s="10">
        <v>0.05</v>
      </c>
      <c r="O127" s="10">
        <v>0</v>
      </c>
    </row>
    <row r="128" spans="1:15" x14ac:dyDescent="0.35">
      <c r="A128" s="13">
        <v>44378</v>
      </c>
      <c r="B128" s="14">
        <f>SUMIF('Dólar Spot'!$B:$B,$A128,'Dólar Spot'!$C:$C)/COUNTIF('Dólar Spot'!$B:$B,$A128)</f>
        <v>5.1560272727272727</v>
      </c>
      <c r="C128" s="7">
        <f>19-SUM(C$122:C127)</f>
        <v>2</v>
      </c>
      <c r="D128" s="7">
        <f>13650-SUM(D$122:D127)</f>
        <v>1400</v>
      </c>
      <c r="E128" s="7">
        <f t="shared" si="3"/>
        <v>7218.4381818181819</v>
      </c>
      <c r="F128" s="7">
        <f t="shared" si="4"/>
        <v>3609.2190909090909</v>
      </c>
      <c r="G128" s="10">
        <v>0.20833333333333334</v>
      </c>
      <c r="H128" s="10">
        <f t="shared" si="5"/>
        <v>0.79166666666666663</v>
      </c>
      <c r="L128" s="10">
        <v>0.625</v>
      </c>
      <c r="M128" s="10">
        <v>8.3333333333333329E-2</v>
      </c>
      <c r="N128" s="10">
        <v>8.3333333333333329E-2</v>
      </c>
      <c r="O128" s="10">
        <v>0</v>
      </c>
    </row>
    <row r="129" spans="1:15" x14ac:dyDescent="0.35">
      <c r="A129" s="13">
        <v>44409</v>
      </c>
      <c r="B129" s="14">
        <f>SUMIF('Dólar Spot'!$B:$B,$A129,'Dólar Spot'!$C:$C)/COUNTIF('Dólar Spot'!$B:$B,$A129)</f>
        <v>5.2511227272727261</v>
      </c>
      <c r="C129" s="7">
        <f>22-SUM(C$122:C128)</f>
        <v>3</v>
      </c>
      <c r="D129" s="7">
        <f>16500-SUM(D$122:D128)</f>
        <v>2850</v>
      </c>
      <c r="E129" s="7">
        <f t="shared" si="3"/>
        <v>14965.69977272727</v>
      </c>
      <c r="F129" s="7">
        <f t="shared" si="4"/>
        <v>4988.5665909090903</v>
      </c>
      <c r="G129" s="10">
        <v>0.25925925925925924</v>
      </c>
      <c r="H129" s="10">
        <f t="shared" si="5"/>
        <v>0.7407407407407407</v>
      </c>
      <c r="L129" s="10">
        <v>0.59259259259259256</v>
      </c>
      <c r="M129" s="10">
        <v>7.407407407407407E-2</v>
      </c>
      <c r="N129" s="10">
        <v>7.407407407407407E-2</v>
      </c>
      <c r="O129" s="10">
        <v>0</v>
      </c>
    </row>
    <row r="130" spans="1:15" x14ac:dyDescent="0.35">
      <c r="A130" s="13">
        <v>44440</v>
      </c>
      <c r="B130" s="14">
        <f>SUMIF('Dólar Spot'!$B:$B,$A130,'Dólar Spot'!$C:$C)/COUNTIF('Dólar Spot'!$B:$B,$A130)</f>
        <v>5.2790904761904756</v>
      </c>
      <c r="C130" s="7">
        <f>26-SUM(C$122:C129)</f>
        <v>4</v>
      </c>
      <c r="D130" s="7">
        <f>18500-SUM(D$122:D129)</f>
        <v>2000</v>
      </c>
      <c r="E130" s="7">
        <f t="shared" si="3"/>
        <v>10558.180952380952</v>
      </c>
      <c r="F130" s="7">
        <f t="shared" si="4"/>
        <v>2639.5452380952379</v>
      </c>
      <c r="G130" s="10">
        <v>0.25</v>
      </c>
      <c r="H130" s="10">
        <f t="shared" si="5"/>
        <v>0.75</v>
      </c>
      <c r="L130" s="10">
        <v>0.625</v>
      </c>
      <c r="M130" s="10">
        <v>6.25E-2</v>
      </c>
      <c r="N130" s="10">
        <v>6.25E-2</v>
      </c>
      <c r="O130" s="10">
        <v>0</v>
      </c>
    </row>
    <row r="131" spans="1:15" x14ac:dyDescent="0.35">
      <c r="A131" s="13">
        <v>44470</v>
      </c>
      <c r="B131" s="14">
        <f>SUMIF('Dólar Spot'!$B:$B,$A131,'Dólar Spot'!$C:$C)/COUNTIF('Dólar Spot'!$B:$B,$A131)</f>
        <v>5.5393750000000015</v>
      </c>
      <c r="C131" s="7">
        <f>27-SUM(C$122:C130)</f>
        <v>1</v>
      </c>
      <c r="D131" s="7">
        <f>18650-SUM(D$122:D130)</f>
        <v>150</v>
      </c>
      <c r="E131" s="7">
        <f>D131*B131</f>
        <v>830.90625000000023</v>
      </c>
      <c r="F131" s="7">
        <f>IFERROR(E131/C131,0)</f>
        <v>830.90625000000023</v>
      </c>
      <c r="G131" s="10">
        <v>0.27272727272727271</v>
      </c>
      <c r="H131" s="10">
        <f t="shared" ref="H131:H133" si="7">1-G131</f>
        <v>0.72727272727272729</v>
      </c>
      <c r="L131" s="10">
        <v>0.60606060606060608</v>
      </c>
      <c r="M131" s="10">
        <v>6.0606060606060608E-2</v>
      </c>
      <c r="N131" s="10">
        <v>6.0606060606060608E-2</v>
      </c>
      <c r="O131" s="10">
        <v>0</v>
      </c>
    </row>
    <row r="132" spans="1:15" x14ac:dyDescent="0.35">
      <c r="A132" s="13">
        <v>44501</v>
      </c>
      <c r="B132" s="14">
        <f>SUMIF('Dólar Spot'!$B:$B,$A132,'Dólar Spot'!$C:$C)/COUNTIF('Dólar Spot'!$B:$B,$A132)</f>
        <v>5.55626</v>
      </c>
      <c r="C132" s="7">
        <f>28-SUM(C$122:C131)</f>
        <v>1</v>
      </c>
      <c r="D132" s="7">
        <f>19650-SUM(D$122:D131)</f>
        <v>1000</v>
      </c>
      <c r="E132" s="7">
        <f>D132*B132</f>
        <v>5556.26</v>
      </c>
      <c r="F132" s="7">
        <f>IFERROR(E132/C132,0)</f>
        <v>5556.26</v>
      </c>
      <c r="G132" s="10">
        <v>0.29411764705882354</v>
      </c>
      <c r="H132" s="10">
        <f t="shared" si="7"/>
        <v>0.70588235294117641</v>
      </c>
      <c r="L132" s="10">
        <v>0.58823529411764708</v>
      </c>
      <c r="M132" s="10">
        <v>5.8823529411764705E-2</v>
      </c>
      <c r="N132" s="10">
        <v>5.8823529411764705E-2</v>
      </c>
      <c r="O132" s="10">
        <v>0</v>
      </c>
    </row>
    <row r="133" spans="1:15" x14ac:dyDescent="0.35">
      <c r="A133" s="13">
        <v>44531</v>
      </c>
      <c r="B133" s="14">
        <f>SUMIF('Dólar Spot'!$B:$B,$A133,'Dólar Spot'!$C:$C)/COUNTIF('Dólar Spot'!$B:$B,$A133)</f>
        <v>5.6506043478260866</v>
      </c>
      <c r="C133" s="7">
        <f>28-SUM(C$122:C132)</f>
        <v>0</v>
      </c>
      <c r="D133" s="7">
        <f>19650-SUM(D$122:D132)</f>
        <v>0</v>
      </c>
      <c r="E133" s="7">
        <f>D133*B133</f>
        <v>0</v>
      </c>
      <c r="F133" s="7">
        <f>IFERROR(E133/C133,0)</f>
        <v>0</v>
      </c>
      <c r="G133" s="10">
        <v>0.29411764705882354</v>
      </c>
      <c r="H133" s="10">
        <f t="shared" si="7"/>
        <v>0.70588235294117641</v>
      </c>
      <c r="L133" s="10">
        <v>0.58823529411764708</v>
      </c>
      <c r="M133" s="10">
        <v>5.8823529411764705E-2</v>
      </c>
      <c r="N133" s="10">
        <v>5.8823529411764705E-2</v>
      </c>
      <c r="O133" s="10">
        <v>0</v>
      </c>
    </row>
    <row r="134" spans="1:15" x14ac:dyDescent="0.35">
      <c r="B134" s="13"/>
    </row>
    <row r="135" spans="1:15" x14ac:dyDescent="0.35">
      <c r="A135" s="13"/>
      <c r="B135" s="13"/>
    </row>
    <row r="136" spans="1:15" x14ac:dyDescent="0.35">
      <c r="A136" s="13"/>
      <c r="B136" s="13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7ACF-F76A-4215-82DD-C1B78F66E098}">
  <dimension ref="A1:U146"/>
  <sheetViews>
    <sheetView showGridLines="0" zoomScaleNormal="100" workbookViewId="0">
      <selection activeCell="I6" sqref="I6"/>
    </sheetView>
  </sheetViews>
  <sheetFormatPr defaultRowHeight="14.5" x14ac:dyDescent="0.35"/>
  <cols>
    <col min="2" max="2" width="14.453125" style="7" bestFit="1" customWidth="1"/>
    <col min="3" max="3" width="12.6328125" bestFit="1" customWidth="1"/>
    <col min="4" max="4" width="20.26953125" bestFit="1" customWidth="1"/>
    <col min="5" max="6" width="20.26953125" style="24" customWidth="1"/>
    <col min="7" max="7" width="17.453125" bestFit="1" customWidth="1"/>
    <col min="8" max="8" width="15.54296875" bestFit="1" customWidth="1"/>
    <col min="9" max="9" width="23.26953125" bestFit="1" customWidth="1"/>
    <col min="10" max="10" width="18" style="24" bestFit="1" customWidth="1"/>
    <col min="11" max="11" width="20.26953125" style="24" bestFit="1" customWidth="1"/>
    <col min="12" max="12" width="18" style="10" bestFit="1" customWidth="1"/>
    <col min="13" max="13" width="17.453125" style="10" bestFit="1" customWidth="1"/>
    <col min="14" max="14" width="15.54296875" style="10" bestFit="1" customWidth="1"/>
    <col min="15" max="15" width="15.54296875" style="10" customWidth="1"/>
    <col min="16" max="16" width="19.36328125" style="10" bestFit="1" customWidth="1"/>
    <col min="17" max="21" width="8.7265625" style="10"/>
  </cols>
  <sheetData>
    <row r="1" spans="1:16" x14ac:dyDescent="0.35">
      <c r="B1" s="25" t="s">
        <v>8</v>
      </c>
      <c r="C1" s="3" t="s">
        <v>280</v>
      </c>
      <c r="D1" s="5" t="s">
        <v>281</v>
      </c>
      <c r="E1" s="24" t="s">
        <v>288</v>
      </c>
      <c r="F1" s="26" t="s">
        <v>289</v>
      </c>
      <c r="G1" s="5" t="s">
        <v>292</v>
      </c>
      <c r="H1" s="3" t="s">
        <v>293</v>
      </c>
      <c r="I1" s="5" t="s">
        <v>294</v>
      </c>
      <c r="J1" s="24" t="s">
        <v>288</v>
      </c>
      <c r="K1" s="26" t="s">
        <v>289</v>
      </c>
      <c r="M1" s="5" t="s">
        <v>8</v>
      </c>
      <c r="N1" s="3" t="s">
        <v>280</v>
      </c>
      <c r="O1" s="5" t="s">
        <v>281</v>
      </c>
      <c r="P1" s="26" t="s">
        <v>291</v>
      </c>
    </row>
    <row r="2" spans="1:16" x14ac:dyDescent="0.35">
      <c r="A2" s="13">
        <v>40544</v>
      </c>
      <c r="B2" s="7">
        <v>3238.2</v>
      </c>
      <c r="C2" s="7">
        <v>13</v>
      </c>
      <c r="D2" s="7">
        <f t="shared" ref="D2:D65" si="0">B2/C2</f>
        <v>249.09230769230768</v>
      </c>
      <c r="E2" s="24">
        <v>0.74368476314001608</v>
      </c>
      <c r="F2" s="24">
        <f t="shared" ref="F2:F70" si="1">1-E2</f>
        <v>0.25631523685998392</v>
      </c>
      <c r="G2" s="7">
        <v>0</v>
      </c>
      <c r="H2" s="7">
        <v>0</v>
      </c>
      <c r="I2" s="7">
        <f>IFERROR(G2/H2,0)</f>
        <v>0</v>
      </c>
      <c r="J2" s="24">
        <v>0</v>
      </c>
      <c r="K2" s="24">
        <f t="shared" ref="K2:K70" si="2">1-J2</f>
        <v>1</v>
      </c>
      <c r="M2" s="7">
        <f>+B2+G2</f>
        <v>3238.2</v>
      </c>
      <c r="N2" s="7">
        <f>+C2+H2</f>
        <v>13</v>
      </c>
      <c r="O2" s="7">
        <f>+M2/N2</f>
        <v>249.09230769230768</v>
      </c>
      <c r="P2" s="10">
        <f>((C2*F2)+(H2*K2))/N2</f>
        <v>0.25631523685998392</v>
      </c>
    </row>
    <row r="3" spans="1:16" x14ac:dyDescent="0.35">
      <c r="A3" s="13">
        <v>40575</v>
      </c>
      <c r="B3" s="7">
        <v>1450</v>
      </c>
      <c r="C3" s="7">
        <v>5</v>
      </c>
      <c r="D3" s="7">
        <f t="shared" si="0"/>
        <v>290</v>
      </c>
      <c r="E3" s="24">
        <v>0.31034482758620691</v>
      </c>
      <c r="F3" s="24">
        <f t="shared" si="1"/>
        <v>0.68965517241379315</v>
      </c>
      <c r="G3" s="7">
        <v>0</v>
      </c>
      <c r="H3" s="7">
        <v>0</v>
      </c>
      <c r="I3" s="7">
        <f t="shared" ref="I3:I71" si="3">IFERROR(G3/H3,0)</f>
        <v>0</v>
      </c>
      <c r="J3" s="24">
        <v>0</v>
      </c>
      <c r="K3" s="24">
        <f t="shared" si="2"/>
        <v>1</v>
      </c>
      <c r="M3" s="7">
        <f t="shared" ref="M3:M71" si="4">+B3+G3</f>
        <v>1450</v>
      </c>
      <c r="N3" s="7">
        <f t="shared" ref="N3:N71" si="5">+C3+H3</f>
        <v>5</v>
      </c>
      <c r="O3" s="7">
        <f t="shared" ref="O3:O71" si="6">+M3/N3</f>
        <v>290</v>
      </c>
      <c r="P3" s="10">
        <f t="shared" ref="P3:P71" si="7">((C3*F3)+(H3*K3))/N3</f>
        <v>0.68965517241379315</v>
      </c>
    </row>
    <row r="4" spans="1:16" x14ac:dyDescent="0.35">
      <c r="A4" s="13">
        <v>40603</v>
      </c>
      <c r="B4" s="7">
        <v>3719</v>
      </c>
      <c r="C4" s="7">
        <v>25</v>
      </c>
      <c r="D4" s="7">
        <f t="shared" si="0"/>
        <v>148.76</v>
      </c>
      <c r="E4" s="24">
        <v>0.34048104194675988</v>
      </c>
      <c r="F4" s="24">
        <f t="shared" si="1"/>
        <v>0.65951895805324012</v>
      </c>
      <c r="G4" s="7">
        <v>0</v>
      </c>
      <c r="H4" s="7">
        <v>0</v>
      </c>
      <c r="I4" s="7">
        <f t="shared" si="3"/>
        <v>0</v>
      </c>
      <c r="J4" s="24">
        <v>0</v>
      </c>
      <c r="K4" s="24">
        <f t="shared" si="2"/>
        <v>1</v>
      </c>
      <c r="M4" s="7">
        <f t="shared" si="4"/>
        <v>3719</v>
      </c>
      <c r="N4" s="7">
        <f t="shared" si="5"/>
        <v>25</v>
      </c>
      <c r="O4" s="7">
        <f t="shared" si="6"/>
        <v>148.76</v>
      </c>
      <c r="P4" s="10">
        <f t="shared" si="7"/>
        <v>0.65951895805324012</v>
      </c>
    </row>
    <row r="5" spans="1:16" x14ac:dyDescent="0.35">
      <c r="A5" s="13">
        <v>40634</v>
      </c>
      <c r="B5" s="7">
        <v>3977</v>
      </c>
      <c r="C5" s="7">
        <v>13</v>
      </c>
      <c r="D5" s="7">
        <f t="shared" si="0"/>
        <v>305.92307692307691</v>
      </c>
      <c r="E5" s="24">
        <v>5.0289162685441285E-2</v>
      </c>
      <c r="F5" s="24">
        <f t="shared" si="1"/>
        <v>0.94971083731455874</v>
      </c>
      <c r="G5" s="7">
        <v>0</v>
      </c>
      <c r="H5" s="7">
        <v>0</v>
      </c>
      <c r="I5" s="7">
        <f t="shared" si="3"/>
        <v>0</v>
      </c>
      <c r="J5" s="24">
        <v>0</v>
      </c>
      <c r="K5" s="24">
        <f t="shared" si="2"/>
        <v>1</v>
      </c>
      <c r="M5" s="7">
        <f t="shared" si="4"/>
        <v>3977</v>
      </c>
      <c r="N5" s="7">
        <f t="shared" si="5"/>
        <v>13</v>
      </c>
      <c r="O5" s="7">
        <f t="shared" si="6"/>
        <v>305.92307692307691</v>
      </c>
      <c r="P5" s="10">
        <f t="shared" si="7"/>
        <v>0.94971083731455874</v>
      </c>
    </row>
    <row r="6" spans="1:16" x14ac:dyDescent="0.35">
      <c r="A6" s="13">
        <v>40664</v>
      </c>
      <c r="B6" s="7">
        <v>9964.4</v>
      </c>
      <c r="C6" s="7">
        <v>21</v>
      </c>
      <c r="D6" s="7">
        <f t="shared" si="0"/>
        <v>474.49523809523805</v>
      </c>
      <c r="E6" s="24">
        <v>0.6197964754526113</v>
      </c>
      <c r="F6" s="24">
        <f t="shared" si="1"/>
        <v>0.3802035245473887</v>
      </c>
      <c r="G6" s="7">
        <v>0</v>
      </c>
      <c r="H6" s="7">
        <v>0</v>
      </c>
      <c r="I6" s="7">
        <f t="shared" si="3"/>
        <v>0</v>
      </c>
      <c r="J6" s="24">
        <v>0</v>
      </c>
      <c r="K6" s="24">
        <f t="shared" si="2"/>
        <v>1</v>
      </c>
      <c r="M6" s="7">
        <f t="shared" si="4"/>
        <v>9964.4</v>
      </c>
      <c r="N6" s="7">
        <f t="shared" si="5"/>
        <v>21</v>
      </c>
      <c r="O6" s="7">
        <f t="shared" si="6"/>
        <v>474.49523809523805</v>
      </c>
      <c r="P6" s="10">
        <f t="shared" si="7"/>
        <v>0.3802035245473887</v>
      </c>
    </row>
    <row r="7" spans="1:16" x14ac:dyDescent="0.35">
      <c r="A7" s="13">
        <v>40695</v>
      </c>
      <c r="B7" s="7">
        <v>16186</v>
      </c>
      <c r="C7" s="7">
        <v>29</v>
      </c>
      <c r="D7" s="7">
        <f t="shared" si="0"/>
        <v>558.13793103448279</v>
      </c>
      <c r="E7" s="24">
        <v>4.9363647596688494E-2</v>
      </c>
      <c r="F7" s="24">
        <f t="shared" si="1"/>
        <v>0.95063635240331146</v>
      </c>
      <c r="G7" s="7">
        <v>0</v>
      </c>
      <c r="H7" s="7">
        <v>0</v>
      </c>
      <c r="I7" s="7">
        <f t="shared" si="3"/>
        <v>0</v>
      </c>
      <c r="J7" s="24">
        <v>0</v>
      </c>
      <c r="K7" s="24">
        <f t="shared" si="2"/>
        <v>1</v>
      </c>
      <c r="M7" s="7">
        <f t="shared" si="4"/>
        <v>16186</v>
      </c>
      <c r="N7" s="7">
        <f t="shared" si="5"/>
        <v>29</v>
      </c>
      <c r="O7" s="7">
        <f t="shared" si="6"/>
        <v>558.13793103448279</v>
      </c>
      <c r="P7" s="10">
        <f t="shared" si="7"/>
        <v>0.95063635240331146</v>
      </c>
    </row>
    <row r="8" spans="1:16" x14ac:dyDescent="0.35">
      <c r="A8" s="13">
        <v>40725</v>
      </c>
      <c r="B8" s="7">
        <v>5024.6762868799997</v>
      </c>
      <c r="C8" s="7">
        <v>17</v>
      </c>
      <c r="D8" s="7">
        <f t="shared" si="0"/>
        <v>295.56919334588235</v>
      </c>
      <c r="E8" s="24">
        <v>0.42490312348097131</v>
      </c>
      <c r="F8" s="24">
        <f t="shared" si="1"/>
        <v>0.57509687651902874</v>
      </c>
      <c r="G8" s="7">
        <v>0</v>
      </c>
      <c r="H8" s="7">
        <v>0</v>
      </c>
      <c r="I8" s="7">
        <f t="shared" si="3"/>
        <v>0</v>
      </c>
      <c r="J8" s="24">
        <v>0</v>
      </c>
      <c r="K8" s="24">
        <f t="shared" si="2"/>
        <v>1</v>
      </c>
      <c r="M8" s="7">
        <f t="shared" si="4"/>
        <v>5024.6762868799997</v>
      </c>
      <c r="N8" s="7">
        <f t="shared" si="5"/>
        <v>17</v>
      </c>
      <c r="O8" s="7">
        <f t="shared" si="6"/>
        <v>295.56919334588235</v>
      </c>
      <c r="P8" s="10">
        <f t="shared" si="7"/>
        <v>0.57509687651902874</v>
      </c>
    </row>
    <row r="9" spans="1:16" x14ac:dyDescent="0.35">
      <c r="A9" s="13">
        <v>40756</v>
      </c>
      <c r="B9" s="7">
        <v>2197.4</v>
      </c>
      <c r="C9" s="7">
        <v>19</v>
      </c>
      <c r="D9" s="7">
        <f t="shared" si="0"/>
        <v>115.65263157894738</v>
      </c>
      <c r="E9" s="24">
        <v>0.14952216255574771</v>
      </c>
      <c r="F9" s="24">
        <f t="shared" si="1"/>
        <v>0.85047783744425232</v>
      </c>
      <c r="G9" s="7">
        <v>0</v>
      </c>
      <c r="H9" s="7">
        <v>0</v>
      </c>
      <c r="I9" s="7">
        <f t="shared" si="3"/>
        <v>0</v>
      </c>
      <c r="J9" s="24">
        <v>0</v>
      </c>
      <c r="K9" s="24">
        <f t="shared" si="2"/>
        <v>1</v>
      </c>
      <c r="M9" s="7">
        <f t="shared" si="4"/>
        <v>2197.4</v>
      </c>
      <c r="N9" s="7">
        <f t="shared" si="5"/>
        <v>19</v>
      </c>
      <c r="O9" s="7">
        <f t="shared" si="6"/>
        <v>115.65263157894738</v>
      </c>
      <c r="P9" s="10">
        <f t="shared" si="7"/>
        <v>0.85047783744425232</v>
      </c>
    </row>
    <row r="10" spans="1:16" x14ac:dyDescent="0.35">
      <c r="A10" s="13">
        <v>40787</v>
      </c>
      <c r="B10" s="7">
        <v>2185</v>
      </c>
      <c r="C10" s="7">
        <v>13</v>
      </c>
      <c r="D10" s="7">
        <f t="shared" si="0"/>
        <v>168.07692307692307</v>
      </c>
      <c r="E10" s="24">
        <v>0.32973455377574373</v>
      </c>
      <c r="F10" s="24">
        <f t="shared" si="1"/>
        <v>0.67026544622425632</v>
      </c>
      <c r="G10" s="7">
        <v>0</v>
      </c>
      <c r="H10" s="7">
        <v>0</v>
      </c>
      <c r="I10" s="7">
        <f t="shared" si="3"/>
        <v>0</v>
      </c>
      <c r="J10" s="24">
        <v>0</v>
      </c>
      <c r="K10" s="24">
        <f t="shared" si="2"/>
        <v>1</v>
      </c>
      <c r="M10" s="7">
        <f t="shared" si="4"/>
        <v>2185</v>
      </c>
      <c r="N10" s="7">
        <f t="shared" si="5"/>
        <v>13</v>
      </c>
      <c r="O10" s="7">
        <f t="shared" si="6"/>
        <v>168.07692307692307</v>
      </c>
      <c r="P10" s="10">
        <f t="shared" si="7"/>
        <v>0.67026544622425632</v>
      </c>
    </row>
    <row r="11" spans="1:16" x14ac:dyDescent="0.35">
      <c r="A11" s="13">
        <v>40817</v>
      </c>
      <c r="B11" s="7">
        <v>2140</v>
      </c>
      <c r="C11" s="7">
        <v>13</v>
      </c>
      <c r="D11" s="7">
        <f t="shared" si="0"/>
        <v>164.61538461538461</v>
      </c>
      <c r="E11" s="24">
        <v>0.15887850467289719</v>
      </c>
      <c r="F11" s="24">
        <f t="shared" si="1"/>
        <v>0.84112149532710279</v>
      </c>
      <c r="G11" s="7">
        <v>0</v>
      </c>
      <c r="H11" s="7">
        <v>0</v>
      </c>
      <c r="I11" s="7">
        <f t="shared" si="3"/>
        <v>0</v>
      </c>
      <c r="J11" s="24">
        <v>0</v>
      </c>
      <c r="K11" s="24">
        <f t="shared" si="2"/>
        <v>1</v>
      </c>
      <c r="M11" s="7">
        <f t="shared" si="4"/>
        <v>2140</v>
      </c>
      <c r="N11" s="7">
        <f t="shared" si="5"/>
        <v>13</v>
      </c>
      <c r="O11" s="7">
        <f t="shared" si="6"/>
        <v>164.61538461538461</v>
      </c>
      <c r="P11" s="10">
        <f t="shared" si="7"/>
        <v>0.8411214953271029</v>
      </c>
    </row>
    <row r="12" spans="1:16" x14ac:dyDescent="0.35">
      <c r="A12" s="13">
        <v>40848</v>
      </c>
      <c r="B12" s="7">
        <v>2631.99783075</v>
      </c>
      <c r="C12" s="7">
        <v>16</v>
      </c>
      <c r="D12" s="7">
        <f t="shared" si="0"/>
        <v>164.499864421875</v>
      </c>
      <c r="E12" s="24">
        <v>0.39551704567049573</v>
      </c>
      <c r="F12" s="24">
        <f t="shared" si="1"/>
        <v>0.60448295432950427</v>
      </c>
      <c r="G12" s="7">
        <v>0</v>
      </c>
      <c r="H12" s="7">
        <v>0</v>
      </c>
      <c r="I12" s="7">
        <f t="shared" si="3"/>
        <v>0</v>
      </c>
      <c r="J12" s="24">
        <v>0</v>
      </c>
      <c r="K12" s="24">
        <f t="shared" si="2"/>
        <v>1</v>
      </c>
      <c r="M12" s="7">
        <f t="shared" si="4"/>
        <v>2631.99783075</v>
      </c>
      <c r="N12" s="7">
        <f t="shared" si="5"/>
        <v>16</v>
      </c>
      <c r="O12" s="7">
        <f t="shared" si="6"/>
        <v>164.499864421875</v>
      </c>
      <c r="P12" s="10">
        <f t="shared" si="7"/>
        <v>0.60448295432950427</v>
      </c>
    </row>
    <row r="13" spans="1:16" x14ac:dyDescent="0.35">
      <c r="A13" s="13">
        <v>40878</v>
      </c>
      <c r="B13" s="7">
        <v>10601.47899499314</v>
      </c>
      <c r="C13" s="7">
        <v>29</v>
      </c>
      <c r="D13" s="7">
        <f t="shared" si="0"/>
        <v>365.56824120665999</v>
      </c>
      <c r="E13" s="24">
        <v>0.12010940824919016</v>
      </c>
      <c r="F13" s="24">
        <f t="shared" si="1"/>
        <v>0.87989059175080986</v>
      </c>
      <c r="G13" s="7">
        <v>0</v>
      </c>
      <c r="H13" s="7">
        <v>0</v>
      </c>
      <c r="I13" s="7">
        <f t="shared" si="3"/>
        <v>0</v>
      </c>
      <c r="J13" s="24">
        <v>0</v>
      </c>
      <c r="K13" s="24">
        <f t="shared" si="2"/>
        <v>1</v>
      </c>
      <c r="M13" s="7">
        <f t="shared" si="4"/>
        <v>10601.47899499314</v>
      </c>
      <c r="N13" s="7">
        <f t="shared" si="5"/>
        <v>29</v>
      </c>
      <c r="O13" s="7">
        <f t="shared" si="6"/>
        <v>365.56824120665999</v>
      </c>
      <c r="P13" s="10">
        <f t="shared" si="7"/>
        <v>0.87989059175080986</v>
      </c>
    </row>
    <row r="14" spans="1:16" s="19" customFormat="1" ht="15" thickBot="1" x14ac:dyDescent="0.4">
      <c r="A14" s="19">
        <v>2011</v>
      </c>
      <c r="B14" s="17">
        <f>SUM(B2:B13)</f>
        <v>63315.153112623142</v>
      </c>
      <c r="C14" s="17">
        <f>SUM(C2:C13)</f>
        <v>213</v>
      </c>
      <c r="D14" s="17">
        <f t="shared" si="0"/>
        <v>297.25423996536688</v>
      </c>
      <c r="G14" s="17">
        <v>0</v>
      </c>
      <c r="H14" s="17">
        <v>0</v>
      </c>
      <c r="I14" s="17">
        <v>0</v>
      </c>
      <c r="M14" s="17">
        <f>SUM(M2:M13)</f>
        <v>63315.153112623142</v>
      </c>
      <c r="N14" s="17">
        <f>SUM(N2:N13)</f>
        <v>213</v>
      </c>
      <c r="O14" s="17">
        <f t="shared" ref="O14" si="8">M14/N14</f>
        <v>297.25423996536688</v>
      </c>
    </row>
    <row r="15" spans="1:16" x14ac:dyDescent="0.35">
      <c r="A15" s="13">
        <v>40909</v>
      </c>
      <c r="B15" s="7">
        <v>24162.501</v>
      </c>
      <c r="C15" s="7">
        <v>38</v>
      </c>
      <c r="D15" s="7">
        <f t="shared" si="0"/>
        <v>635.85528947368425</v>
      </c>
      <c r="E15" s="24">
        <v>5.3140194386334424E-2</v>
      </c>
      <c r="F15" s="24">
        <f t="shared" si="1"/>
        <v>0.94685980561366556</v>
      </c>
      <c r="G15" s="7">
        <v>0</v>
      </c>
      <c r="H15" s="7">
        <v>0</v>
      </c>
      <c r="I15" s="7">
        <f t="shared" si="3"/>
        <v>0</v>
      </c>
      <c r="J15" s="24">
        <v>0</v>
      </c>
      <c r="K15" s="24">
        <f t="shared" si="2"/>
        <v>1</v>
      </c>
      <c r="M15" s="7">
        <f t="shared" si="4"/>
        <v>24162.501</v>
      </c>
      <c r="N15" s="7">
        <f t="shared" si="5"/>
        <v>38</v>
      </c>
      <c r="O15" s="7">
        <f t="shared" si="6"/>
        <v>635.85528947368425</v>
      </c>
      <c r="P15" s="10">
        <f t="shared" si="7"/>
        <v>0.94685980561366556</v>
      </c>
    </row>
    <row r="16" spans="1:16" x14ac:dyDescent="0.35">
      <c r="A16" s="13">
        <v>40940</v>
      </c>
      <c r="B16" s="7">
        <v>5634.5</v>
      </c>
      <c r="C16" s="7">
        <v>26</v>
      </c>
      <c r="D16" s="7">
        <f t="shared" si="0"/>
        <v>216.71153846153845</v>
      </c>
      <c r="E16" s="24">
        <v>8.4302067619132129E-2</v>
      </c>
      <c r="F16" s="24">
        <f t="shared" si="1"/>
        <v>0.91569793238086783</v>
      </c>
      <c r="G16" s="7">
        <v>0</v>
      </c>
      <c r="H16" s="7">
        <v>0</v>
      </c>
      <c r="I16" s="7">
        <f t="shared" si="3"/>
        <v>0</v>
      </c>
      <c r="J16" s="24">
        <v>0</v>
      </c>
      <c r="K16" s="24">
        <f t="shared" si="2"/>
        <v>1</v>
      </c>
      <c r="M16" s="7">
        <f t="shared" si="4"/>
        <v>5634.5</v>
      </c>
      <c r="N16" s="7">
        <f t="shared" si="5"/>
        <v>26</v>
      </c>
      <c r="O16" s="7">
        <f t="shared" si="6"/>
        <v>216.71153846153845</v>
      </c>
      <c r="P16" s="10">
        <f t="shared" si="7"/>
        <v>0.91569793238086783</v>
      </c>
    </row>
    <row r="17" spans="1:16" x14ac:dyDescent="0.35">
      <c r="A17" s="13">
        <v>40969</v>
      </c>
      <c r="B17" s="7">
        <v>6377.1</v>
      </c>
      <c r="C17" s="7">
        <v>22</v>
      </c>
      <c r="D17" s="7">
        <f t="shared" si="0"/>
        <v>289.86818181818182</v>
      </c>
      <c r="E17" s="24">
        <v>0.47255021875147013</v>
      </c>
      <c r="F17" s="24">
        <f t="shared" si="1"/>
        <v>0.52744978124852993</v>
      </c>
      <c r="G17" s="7">
        <v>0</v>
      </c>
      <c r="H17" s="7">
        <v>0</v>
      </c>
      <c r="I17" s="7">
        <f t="shared" si="3"/>
        <v>0</v>
      </c>
      <c r="J17" s="24">
        <v>0</v>
      </c>
      <c r="K17" s="24">
        <f t="shared" si="2"/>
        <v>1</v>
      </c>
      <c r="M17" s="7">
        <f t="shared" si="4"/>
        <v>6377.1</v>
      </c>
      <c r="N17" s="7">
        <f t="shared" si="5"/>
        <v>22</v>
      </c>
      <c r="O17" s="7">
        <f t="shared" si="6"/>
        <v>289.86818181818182</v>
      </c>
      <c r="P17" s="10">
        <f t="shared" si="7"/>
        <v>0.52744978124852993</v>
      </c>
    </row>
    <row r="18" spans="1:16" x14ac:dyDescent="0.35">
      <c r="A18" s="13">
        <v>41000</v>
      </c>
      <c r="B18" s="7">
        <v>8475</v>
      </c>
      <c r="C18" s="7">
        <v>23</v>
      </c>
      <c r="D18" s="7">
        <f t="shared" si="0"/>
        <v>368.47826086956519</v>
      </c>
      <c r="E18" s="24">
        <v>0.29215339233038345</v>
      </c>
      <c r="F18" s="24">
        <f t="shared" si="1"/>
        <v>0.7078466076696166</v>
      </c>
      <c r="G18" s="7">
        <v>0</v>
      </c>
      <c r="H18" s="7">
        <v>0</v>
      </c>
      <c r="I18" s="7">
        <f t="shared" si="3"/>
        <v>0</v>
      </c>
      <c r="J18" s="24">
        <v>0</v>
      </c>
      <c r="K18" s="24">
        <f t="shared" si="2"/>
        <v>1</v>
      </c>
      <c r="M18" s="7">
        <f t="shared" si="4"/>
        <v>8475</v>
      </c>
      <c r="N18" s="7">
        <f t="shared" si="5"/>
        <v>23</v>
      </c>
      <c r="O18" s="7">
        <f t="shared" si="6"/>
        <v>368.47826086956519</v>
      </c>
      <c r="P18" s="10">
        <f t="shared" si="7"/>
        <v>0.7078466076696166</v>
      </c>
    </row>
    <row r="19" spans="1:16" x14ac:dyDescent="0.35">
      <c r="A19" s="13">
        <v>41030</v>
      </c>
      <c r="B19" s="7">
        <v>5041.2</v>
      </c>
      <c r="C19" s="7">
        <v>19</v>
      </c>
      <c r="D19" s="7">
        <f t="shared" si="0"/>
        <v>265.32631578947365</v>
      </c>
      <c r="E19" s="24">
        <v>0.66630960882329604</v>
      </c>
      <c r="F19" s="24">
        <f t="shared" si="1"/>
        <v>0.33369039117670396</v>
      </c>
      <c r="G19" s="7">
        <v>0</v>
      </c>
      <c r="H19" s="7">
        <v>0</v>
      </c>
      <c r="I19" s="7">
        <f t="shared" si="3"/>
        <v>0</v>
      </c>
      <c r="J19" s="24">
        <v>0</v>
      </c>
      <c r="K19" s="24">
        <f t="shared" si="2"/>
        <v>1</v>
      </c>
      <c r="M19" s="7">
        <f t="shared" si="4"/>
        <v>5041.2</v>
      </c>
      <c r="N19" s="7">
        <f t="shared" si="5"/>
        <v>19</v>
      </c>
      <c r="O19" s="7">
        <f t="shared" si="6"/>
        <v>265.32631578947365</v>
      </c>
      <c r="P19" s="10">
        <f t="shared" si="7"/>
        <v>0.33369039117670396</v>
      </c>
    </row>
    <row r="20" spans="1:16" x14ac:dyDescent="0.35">
      <c r="A20" s="13">
        <v>41061</v>
      </c>
      <c r="B20" s="7">
        <v>6725.55</v>
      </c>
      <c r="C20" s="7">
        <v>34</v>
      </c>
      <c r="D20" s="7">
        <f t="shared" si="0"/>
        <v>197.81029411764706</v>
      </c>
      <c r="E20" s="24">
        <v>0.17671417207514628</v>
      </c>
      <c r="F20" s="24">
        <f t="shared" si="1"/>
        <v>0.82328582792485372</v>
      </c>
      <c r="G20" s="7">
        <v>450</v>
      </c>
      <c r="H20" s="7">
        <v>1</v>
      </c>
      <c r="I20" s="7">
        <f t="shared" si="3"/>
        <v>450</v>
      </c>
      <c r="J20" s="24">
        <v>0</v>
      </c>
      <c r="K20" s="24">
        <f t="shared" si="2"/>
        <v>1</v>
      </c>
      <c r="M20" s="7">
        <f t="shared" si="4"/>
        <v>7175.55</v>
      </c>
      <c r="N20" s="7">
        <f t="shared" si="5"/>
        <v>35</v>
      </c>
      <c r="O20" s="7">
        <f t="shared" si="6"/>
        <v>205.0157142857143</v>
      </c>
      <c r="P20" s="10">
        <f t="shared" si="7"/>
        <v>0.82833480426985795</v>
      </c>
    </row>
    <row r="21" spans="1:16" x14ac:dyDescent="0.35">
      <c r="A21" s="13">
        <v>41091</v>
      </c>
      <c r="B21" s="7">
        <v>12209</v>
      </c>
      <c r="C21" s="7">
        <v>24</v>
      </c>
      <c r="D21" s="7">
        <f t="shared" si="0"/>
        <v>508.70833333333331</v>
      </c>
      <c r="E21" s="24">
        <v>0.18019493816037349</v>
      </c>
      <c r="F21" s="24">
        <f t="shared" si="1"/>
        <v>0.81980506183962654</v>
      </c>
      <c r="G21" s="7">
        <v>0</v>
      </c>
      <c r="H21" s="7">
        <v>0</v>
      </c>
      <c r="I21" s="7">
        <f t="shared" si="3"/>
        <v>0</v>
      </c>
      <c r="J21" s="24">
        <v>0</v>
      </c>
      <c r="K21" s="24">
        <f t="shared" si="2"/>
        <v>1</v>
      </c>
      <c r="M21" s="7">
        <f t="shared" si="4"/>
        <v>12209</v>
      </c>
      <c r="N21" s="7">
        <f t="shared" si="5"/>
        <v>24</v>
      </c>
      <c r="O21" s="7">
        <f t="shared" si="6"/>
        <v>508.70833333333331</v>
      </c>
      <c r="P21" s="10">
        <f t="shared" si="7"/>
        <v>0.81980506183962654</v>
      </c>
    </row>
    <row r="22" spans="1:16" x14ac:dyDescent="0.35">
      <c r="A22" s="13">
        <v>41122</v>
      </c>
      <c r="B22" s="7">
        <v>4278.0909437800001</v>
      </c>
      <c r="C22" s="7">
        <v>20</v>
      </c>
      <c r="D22" s="7">
        <f t="shared" si="0"/>
        <v>213.904547189</v>
      </c>
      <c r="E22" s="24">
        <v>0.26574727934846715</v>
      </c>
      <c r="F22" s="24">
        <f t="shared" si="1"/>
        <v>0.7342527206515328</v>
      </c>
      <c r="G22" s="7">
        <v>100</v>
      </c>
      <c r="H22" s="7">
        <v>2</v>
      </c>
      <c r="I22" s="7">
        <f t="shared" si="3"/>
        <v>50</v>
      </c>
      <c r="J22" s="24">
        <v>0</v>
      </c>
      <c r="K22" s="24">
        <f t="shared" si="2"/>
        <v>1</v>
      </c>
      <c r="M22" s="7">
        <f t="shared" si="4"/>
        <v>4378.0909437800001</v>
      </c>
      <c r="N22" s="7">
        <f t="shared" si="5"/>
        <v>22</v>
      </c>
      <c r="O22" s="7">
        <f t="shared" si="6"/>
        <v>199.00413380818182</v>
      </c>
      <c r="P22" s="10">
        <f t="shared" si="7"/>
        <v>0.75841156422866618</v>
      </c>
    </row>
    <row r="23" spans="1:16" x14ac:dyDescent="0.35">
      <c r="A23" s="13">
        <v>41153</v>
      </c>
      <c r="B23" s="7">
        <v>8687.875</v>
      </c>
      <c r="C23" s="7">
        <v>38</v>
      </c>
      <c r="D23" s="7">
        <f t="shared" si="0"/>
        <v>228.62828947368422</v>
      </c>
      <c r="E23" s="24">
        <v>0.24450535948088573</v>
      </c>
      <c r="F23" s="24">
        <f t="shared" si="1"/>
        <v>0.7554946405191143</v>
      </c>
      <c r="G23" s="7">
        <v>2260</v>
      </c>
      <c r="H23" s="7">
        <v>2</v>
      </c>
      <c r="I23" s="7">
        <f t="shared" si="3"/>
        <v>1130</v>
      </c>
      <c r="J23" s="24">
        <v>0</v>
      </c>
      <c r="K23" s="24">
        <f t="shared" si="2"/>
        <v>1</v>
      </c>
      <c r="M23" s="7">
        <f t="shared" si="4"/>
        <v>10947.875</v>
      </c>
      <c r="N23" s="7">
        <f t="shared" si="5"/>
        <v>40</v>
      </c>
      <c r="O23" s="7">
        <f t="shared" si="6"/>
        <v>273.69687499999998</v>
      </c>
      <c r="P23" s="10">
        <f t="shared" si="7"/>
        <v>0.76771990849315863</v>
      </c>
    </row>
    <row r="24" spans="1:16" x14ac:dyDescent="0.35">
      <c r="A24" s="13">
        <v>41183</v>
      </c>
      <c r="B24" s="7">
        <v>27603.867999999999</v>
      </c>
      <c r="C24" s="7">
        <v>48</v>
      </c>
      <c r="D24" s="7">
        <f t="shared" si="0"/>
        <v>575.08058333333327</v>
      </c>
      <c r="E24" s="24">
        <v>5.9411963569743195E-2</v>
      </c>
      <c r="F24" s="24">
        <f t="shared" si="1"/>
        <v>0.94058803643025679</v>
      </c>
      <c r="G24" s="7">
        <v>135</v>
      </c>
      <c r="H24" s="7">
        <v>1</v>
      </c>
      <c r="I24" s="7">
        <f t="shared" si="3"/>
        <v>135</v>
      </c>
      <c r="J24" s="24">
        <v>0</v>
      </c>
      <c r="K24" s="24">
        <f t="shared" si="2"/>
        <v>1</v>
      </c>
      <c r="M24" s="7">
        <f t="shared" si="4"/>
        <v>27738.867999999999</v>
      </c>
      <c r="N24" s="7">
        <f t="shared" si="5"/>
        <v>49</v>
      </c>
      <c r="O24" s="7">
        <f t="shared" si="6"/>
        <v>566.09934693877551</v>
      </c>
      <c r="P24" s="10">
        <f t="shared" si="7"/>
        <v>0.94180052548270043</v>
      </c>
    </row>
    <row r="25" spans="1:16" x14ac:dyDescent="0.35">
      <c r="A25" s="13">
        <v>41214</v>
      </c>
      <c r="B25" s="7">
        <v>5138</v>
      </c>
      <c r="C25" s="7">
        <v>26</v>
      </c>
      <c r="D25" s="7">
        <f t="shared" si="0"/>
        <v>197.61538461538461</v>
      </c>
      <c r="E25" s="24">
        <v>0.19482288828337874</v>
      </c>
      <c r="F25" s="24">
        <f t="shared" si="1"/>
        <v>0.80517711171662132</v>
      </c>
      <c r="G25" s="7">
        <v>0</v>
      </c>
      <c r="H25" s="7">
        <v>0</v>
      </c>
      <c r="I25" s="7">
        <f t="shared" si="3"/>
        <v>0</v>
      </c>
      <c r="J25" s="24">
        <v>0</v>
      </c>
      <c r="K25" s="24">
        <f t="shared" si="2"/>
        <v>1</v>
      </c>
      <c r="M25" s="7">
        <f t="shared" si="4"/>
        <v>5138</v>
      </c>
      <c r="N25" s="7">
        <f t="shared" si="5"/>
        <v>26</v>
      </c>
      <c r="O25" s="7">
        <f t="shared" si="6"/>
        <v>197.61538461538461</v>
      </c>
      <c r="P25" s="10">
        <f t="shared" si="7"/>
        <v>0.80517711171662121</v>
      </c>
    </row>
    <row r="26" spans="1:16" x14ac:dyDescent="0.35">
      <c r="A26" s="13">
        <v>41244</v>
      </c>
      <c r="B26" s="7">
        <v>12240.32</v>
      </c>
      <c r="C26" s="7">
        <v>32</v>
      </c>
      <c r="D26" s="7">
        <f t="shared" si="0"/>
        <v>382.51</v>
      </c>
      <c r="E26" s="24">
        <v>0.15386199053619512</v>
      </c>
      <c r="F26" s="24">
        <f t="shared" si="1"/>
        <v>0.84613800946380491</v>
      </c>
      <c r="G26" s="7">
        <v>1220</v>
      </c>
      <c r="H26" s="7">
        <v>3</v>
      </c>
      <c r="I26" s="7">
        <f t="shared" si="3"/>
        <v>406.66666666666669</v>
      </c>
      <c r="J26" s="24">
        <v>0</v>
      </c>
      <c r="K26" s="24">
        <f t="shared" si="2"/>
        <v>1</v>
      </c>
      <c r="M26" s="7">
        <f t="shared" si="4"/>
        <v>13460.32</v>
      </c>
      <c r="N26" s="7">
        <f t="shared" si="5"/>
        <v>35</v>
      </c>
      <c r="O26" s="7">
        <f t="shared" si="6"/>
        <v>384.58057142857143</v>
      </c>
      <c r="P26" s="10">
        <f t="shared" si="7"/>
        <v>0.8593261800811931</v>
      </c>
    </row>
    <row r="27" spans="1:16" s="19" customFormat="1" ht="15" thickBot="1" x14ac:dyDescent="0.4">
      <c r="A27" s="19">
        <v>2012</v>
      </c>
      <c r="B27" s="17">
        <f>SUM(B15:B26)</f>
        <v>126573.00494377999</v>
      </c>
      <c r="C27" s="17">
        <f>SUM(C15:C26)</f>
        <v>350</v>
      </c>
      <c r="D27" s="17">
        <f t="shared" si="0"/>
        <v>361.63715698222853</v>
      </c>
      <c r="G27" s="17">
        <f>SUM(G15:G26)</f>
        <v>4165</v>
      </c>
      <c r="H27" s="17">
        <f>SUM(H15:H26)</f>
        <v>9</v>
      </c>
      <c r="I27" s="17">
        <f t="shared" ref="I27" si="9">G27/H27</f>
        <v>462.77777777777777</v>
      </c>
      <c r="M27" s="17">
        <f>SUM(M15:M26)</f>
        <v>130738.00494377999</v>
      </c>
      <c r="N27" s="17">
        <f>SUM(N15:N26)</f>
        <v>359</v>
      </c>
      <c r="O27" s="17">
        <f t="shared" ref="O27" si="10">M27/N27</f>
        <v>364.17271572083564</v>
      </c>
    </row>
    <row r="28" spans="1:16" x14ac:dyDescent="0.35">
      <c r="A28" s="13">
        <v>41275</v>
      </c>
      <c r="B28" s="7">
        <v>3246</v>
      </c>
      <c r="C28" s="7">
        <v>10</v>
      </c>
      <c r="D28" s="7">
        <f t="shared" si="0"/>
        <v>324.60000000000002</v>
      </c>
      <c r="E28" s="24">
        <v>5.0831792975970423E-2</v>
      </c>
      <c r="F28" s="24">
        <f t="shared" si="1"/>
        <v>0.9491682070240296</v>
      </c>
      <c r="G28" s="7">
        <v>0</v>
      </c>
      <c r="H28" s="7">
        <v>0</v>
      </c>
      <c r="I28" s="7">
        <f t="shared" si="3"/>
        <v>0</v>
      </c>
      <c r="J28" s="24">
        <v>0</v>
      </c>
      <c r="K28" s="24">
        <f t="shared" si="2"/>
        <v>1</v>
      </c>
      <c r="M28" s="7">
        <f t="shared" si="4"/>
        <v>3246</v>
      </c>
      <c r="N28" s="7">
        <f t="shared" si="5"/>
        <v>10</v>
      </c>
      <c r="O28" s="7">
        <f t="shared" si="6"/>
        <v>324.60000000000002</v>
      </c>
      <c r="P28" s="10">
        <f t="shared" si="7"/>
        <v>0.9491682070240296</v>
      </c>
    </row>
    <row r="29" spans="1:16" x14ac:dyDescent="0.35">
      <c r="A29" s="13">
        <v>41306</v>
      </c>
      <c r="B29" s="7">
        <v>26006.07</v>
      </c>
      <c r="C29" s="7">
        <v>23</v>
      </c>
      <c r="D29" s="7">
        <f t="shared" si="0"/>
        <v>1130.6986956521739</v>
      </c>
      <c r="E29" s="24">
        <v>1.3073870830925241E-2</v>
      </c>
      <c r="F29" s="24">
        <f t="shared" si="1"/>
        <v>0.98692612916907474</v>
      </c>
      <c r="G29" s="7">
        <v>0</v>
      </c>
      <c r="H29" s="7">
        <v>0</v>
      </c>
      <c r="I29" s="7">
        <f t="shared" si="3"/>
        <v>0</v>
      </c>
      <c r="J29" s="24">
        <v>0</v>
      </c>
      <c r="K29" s="24">
        <f t="shared" si="2"/>
        <v>1</v>
      </c>
      <c r="M29" s="7">
        <f t="shared" si="4"/>
        <v>26006.07</v>
      </c>
      <c r="N29" s="7">
        <f t="shared" si="5"/>
        <v>23</v>
      </c>
      <c r="O29" s="7">
        <f t="shared" si="6"/>
        <v>1130.6986956521739</v>
      </c>
      <c r="P29" s="10">
        <f t="shared" si="7"/>
        <v>0.98692612916907474</v>
      </c>
    </row>
    <row r="30" spans="1:16" x14ac:dyDescent="0.35">
      <c r="A30" s="13">
        <v>41334</v>
      </c>
      <c r="B30" s="7">
        <v>4634.424</v>
      </c>
      <c r="C30" s="7">
        <v>14</v>
      </c>
      <c r="D30" s="7">
        <f t="shared" si="0"/>
        <v>331.0302857142857</v>
      </c>
      <c r="E30" s="24">
        <v>0.12255933231056708</v>
      </c>
      <c r="F30" s="24">
        <f t="shared" si="1"/>
        <v>0.87744066768943296</v>
      </c>
      <c r="G30" s="7">
        <v>920</v>
      </c>
      <c r="H30" s="7">
        <v>2</v>
      </c>
      <c r="I30" s="7">
        <f t="shared" si="3"/>
        <v>460</v>
      </c>
      <c r="J30" s="24">
        <v>0</v>
      </c>
      <c r="K30" s="24">
        <f t="shared" si="2"/>
        <v>1</v>
      </c>
      <c r="M30" s="7">
        <f t="shared" si="4"/>
        <v>5554.424</v>
      </c>
      <c r="N30" s="7">
        <f t="shared" si="5"/>
        <v>16</v>
      </c>
      <c r="O30" s="7">
        <f t="shared" si="6"/>
        <v>347.1515</v>
      </c>
      <c r="P30" s="10">
        <f t="shared" si="7"/>
        <v>0.89276058422825388</v>
      </c>
    </row>
    <row r="31" spans="1:16" x14ac:dyDescent="0.35">
      <c r="A31" s="13">
        <v>41365</v>
      </c>
      <c r="B31" s="7">
        <v>8273.68</v>
      </c>
      <c r="C31" s="7">
        <v>38</v>
      </c>
      <c r="D31" s="7">
        <f t="shared" si="0"/>
        <v>217.72842105263157</v>
      </c>
      <c r="E31" s="24">
        <v>0.36561723441080629</v>
      </c>
      <c r="F31" s="24">
        <f t="shared" si="1"/>
        <v>0.63438276558919371</v>
      </c>
      <c r="G31" s="7">
        <v>881</v>
      </c>
      <c r="H31" s="7">
        <v>2</v>
      </c>
      <c r="I31" s="7">
        <f t="shared" si="3"/>
        <v>440.5</v>
      </c>
      <c r="J31" s="24">
        <v>0</v>
      </c>
      <c r="K31" s="24">
        <f t="shared" si="2"/>
        <v>1</v>
      </c>
      <c r="M31" s="7">
        <f t="shared" si="4"/>
        <v>9154.68</v>
      </c>
      <c r="N31" s="7">
        <f t="shared" si="5"/>
        <v>40</v>
      </c>
      <c r="O31" s="7">
        <f t="shared" si="6"/>
        <v>228.86700000000002</v>
      </c>
      <c r="P31" s="10">
        <f t="shared" si="7"/>
        <v>0.65266362730973404</v>
      </c>
    </row>
    <row r="32" spans="1:16" x14ac:dyDescent="0.35">
      <c r="A32" s="13">
        <v>41395</v>
      </c>
      <c r="B32" s="7">
        <v>6411</v>
      </c>
      <c r="C32" s="7">
        <v>26</v>
      </c>
      <c r="D32" s="7">
        <f t="shared" si="0"/>
        <v>246.57692307692307</v>
      </c>
      <c r="E32" s="24">
        <v>0.59039151458430827</v>
      </c>
      <c r="F32" s="24">
        <f t="shared" si="1"/>
        <v>0.40960848541569173</v>
      </c>
      <c r="G32" s="7">
        <v>0</v>
      </c>
      <c r="H32" s="7">
        <v>0</v>
      </c>
      <c r="I32" s="7">
        <f t="shared" si="3"/>
        <v>0</v>
      </c>
      <c r="J32" s="24">
        <v>0</v>
      </c>
      <c r="K32" s="24">
        <f t="shared" si="2"/>
        <v>1</v>
      </c>
      <c r="M32" s="7">
        <f t="shared" si="4"/>
        <v>6411</v>
      </c>
      <c r="N32" s="7">
        <f t="shared" si="5"/>
        <v>26</v>
      </c>
      <c r="O32" s="7">
        <f t="shared" si="6"/>
        <v>246.57692307692307</v>
      </c>
      <c r="P32" s="10">
        <f t="shared" si="7"/>
        <v>0.40960848541569173</v>
      </c>
    </row>
    <row r="33" spans="1:16" x14ac:dyDescent="0.35">
      <c r="A33" s="13">
        <v>41426</v>
      </c>
      <c r="B33" s="7">
        <v>5414</v>
      </c>
      <c r="C33" s="7">
        <v>23</v>
      </c>
      <c r="D33" s="7">
        <f t="shared" si="0"/>
        <v>235.39130434782609</v>
      </c>
      <c r="E33" s="24">
        <v>0.33247137052087183</v>
      </c>
      <c r="F33" s="24">
        <f t="shared" si="1"/>
        <v>0.66752862947912817</v>
      </c>
      <c r="G33" s="7">
        <v>1104</v>
      </c>
      <c r="H33" s="7">
        <v>2</v>
      </c>
      <c r="I33" s="7">
        <f t="shared" si="3"/>
        <v>552</v>
      </c>
      <c r="J33" s="24">
        <v>0</v>
      </c>
      <c r="K33" s="24">
        <f t="shared" si="2"/>
        <v>1</v>
      </c>
      <c r="M33" s="7">
        <f t="shared" si="4"/>
        <v>6518</v>
      </c>
      <c r="N33" s="7">
        <f t="shared" si="5"/>
        <v>25</v>
      </c>
      <c r="O33" s="7">
        <f t="shared" si="6"/>
        <v>260.72000000000003</v>
      </c>
      <c r="P33" s="10">
        <f t="shared" si="7"/>
        <v>0.69412633912079802</v>
      </c>
    </row>
    <row r="34" spans="1:16" x14ac:dyDescent="0.35">
      <c r="A34" s="13">
        <v>41456</v>
      </c>
      <c r="B34" s="7">
        <v>3301</v>
      </c>
      <c r="C34" s="7">
        <v>21</v>
      </c>
      <c r="D34" s="7">
        <f t="shared" si="0"/>
        <v>157.1904761904762</v>
      </c>
      <c r="E34" s="24">
        <v>0.46985761890336264</v>
      </c>
      <c r="F34" s="24">
        <f t="shared" si="1"/>
        <v>0.53014238109663736</v>
      </c>
      <c r="G34" s="7">
        <v>794.7</v>
      </c>
      <c r="H34" s="7">
        <v>4</v>
      </c>
      <c r="I34" s="7">
        <f t="shared" si="3"/>
        <v>198.67500000000001</v>
      </c>
      <c r="J34" s="24">
        <v>0</v>
      </c>
      <c r="K34" s="24">
        <f t="shared" si="2"/>
        <v>1</v>
      </c>
      <c r="M34" s="7">
        <f t="shared" si="4"/>
        <v>4095.7</v>
      </c>
      <c r="N34" s="7">
        <f t="shared" si="5"/>
        <v>25</v>
      </c>
      <c r="O34" s="7">
        <f t="shared" si="6"/>
        <v>163.828</v>
      </c>
      <c r="P34" s="10">
        <f t="shared" si="7"/>
        <v>0.60531960012117536</v>
      </c>
    </row>
    <row r="35" spans="1:16" x14ac:dyDescent="0.35">
      <c r="A35" s="13">
        <v>41487</v>
      </c>
      <c r="B35" s="7">
        <v>2867.482</v>
      </c>
      <c r="C35" s="7">
        <v>28</v>
      </c>
      <c r="D35" s="7">
        <f t="shared" si="0"/>
        <v>102.41007142857143</v>
      </c>
      <c r="E35" s="24">
        <v>0.32065833368788366</v>
      </c>
      <c r="F35" s="24">
        <f t="shared" si="1"/>
        <v>0.67934166631211634</v>
      </c>
      <c r="G35" s="7">
        <v>0</v>
      </c>
      <c r="H35" s="7">
        <v>0</v>
      </c>
      <c r="I35" s="7">
        <f t="shared" si="3"/>
        <v>0</v>
      </c>
      <c r="J35" s="24">
        <v>0</v>
      </c>
      <c r="K35" s="24">
        <f t="shared" si="2"/>
        <v>1</v>
      </c>
      <c r="M35" s="7">
        <f t="shared" si="4"/>
        <v>2867.482</v>
      </c>
      <c r="N35" s="7">
        <f t="shared" si="5"/>
        <v>28</v>
      </c>
      <c r="O35" s="7">
        <f t="shared" si="6"/>
        <v>102.41007142857143</v>
      </c>
      <c r="P35" s="10">
        <f t="shared" si="7"/>
        <v>0.67934166631211634</v>
      </c>
    </row>
    <row r="36" spans="1:16" x14ac:dyDescent="0.35">
      <c r="A36" s="13">
        <v>41518</v>
      </c>
      <c r="B36" s="7">
        <v>6828.7870000000003</v>
      </c>
      <c r="C36" s="7">
        <v>45</v>
      </c>
      <c r="D36" s="7">
        <f t="shared" si="0"/>
        <v>151.75082222222224</v>
      </c>
      <c r="E36" s="24">
        <v>0.16685247321376404</v>
      </c>
      <c r="F36" s="24">
        <f t="shared" si="1"/>
        <v>0.83314752678623594</v>
      </c>
      <c r="G36" s="7">
        <v>611.803</v>
      </c>
      <c r="H36" s="7">
        <v>4</v>
      </c>
      <c r="I36" s="7">
        <f t="shared" si="3"/>
        <v>152.95075</v>
      </c>
      <c r="J36" s="24">
        <v>0</v>
      </c>
      <c r="K36" s="24">
        <f t="shared" si="2"/>
        <v>1</v>
      </c>
      <c r="M36" s="7">
        <f t="shared" si="4"/>
        <v>7440.59</v>
      </c>
      <c r="N36" s="7">
        <f t="shared" si="5"/>
        <v>49</v>
      </c>
      <c r="O36" s="7">
        <f t="shared" si="6"/>
        <v>151.84877551020409</v>
      </c>
      <c r="P36" s="10">
        <f t="shared" si="7"/>
        <v>0.84676813684450236</v>
      </c>
    </row>
    <row r="37" spans="1:16" x14ac:dyDescent="0.35">
      <c r="A37" s="13">
        <v>41548</v>
      </c>
      <c r="B37" s="7">
        <v>5979.5749999999998</v>
      </c>
      <c r="C37" s="7">
        <v>41</v>
      </c>
      <c r="D37" s="7">
        <f t="shared" si="0"/>
        <v>145.84329268292683</v>
      </c>
      <c r="E37" s="24">
        <v>0.21784156900783083</v>
      </c>
      <c r="F37" s="24">
        <f t="shared" si="1"/>
        <v>0.7821584309921692</v>
      </c>
      <c r="G37" s="7">
        <v>1504.0250000000001</v>
      </c>
      <c r="H37" s="7">
        <v>4</v>
      </c>
      <c r="I37" s="7">
        <f t="shared" si="3"/>
        <v>376.00625000000002</v>
      </c>
      <c r="J37" s="24">
        <v>0</v>
      </c>
      <c r="K37" s="24">
        <f t="shared" si="2"/>
        <v>1</v>
      </c>
      <c r="M37" s="7">
        <f t="shared" si="4"/>
        <v>7483.6</v>
      </c>
      <c r="N37" s="7">
        <f t="shared" si="5"/>
        <v>45</v>
      </c>
      <c r="O37" s="7">
        <f t="shared" si="6"/>
        <v>166.30222222222224</v>
      </c>
      <c r="P37" s="10">
        <f t="shared" si="7"/>
        <v>0.80152212601508743</v>
      </c>
    </row>
    <row r="38" spans="1:16" x14ac:dyDescent="0.35">
      <c r="A38" s="13">
        <v>41579</v>
      </c>
      <c r="B38" s="7">
        <v>3146.31</v>
      </c>
      <c r="C38" s="7">
        <v>19</v>
      </c>
      <c r="D38" s="7">
        <f t="shared" si="0"/>
        <v>165.59526315789472</v>
      </c>
      <c r="E38" s="24">
        <v>0.29240602483544215</v>
      </c>
      <c r="F38" s="24">
        <f t="shared" si="1"/>
        <v>0.70759397516455791</v>
      </c>
      <c r="G38" s="7">
        <v>600</v>
      </c>
      <c r="H38" s="7">
        <v>8</v>
      </c>
      <c r="I38" s="7">
        <f t="shared" si="3"/>
        <v>75</v>
      </c>
      <c r="J38" s="24">
        <v>0</v>
      </c>
      <c r="K38" s="24">
        <f t="shared" si="2"/>
        <v>1</v>
      </c>
      <c r="M38" s="7">
        <f t="shared" si="4"/>
        <v>3746.31</v>
      </c>
      <c r="N38" s="7">
        <f t="shared" si="5"/>
        <v>27</v>
      </c>
      <c r="O38" s="7">
        <f t="shared" si="6"/>
        <v>138.75222222222223</v>
      </c>
      <c r="P38" s="10">
        <f t="shared" si="7"/>
        <v>0.79423279733802221</v>
      </c>
    </row>
    <row r="39" spans="1:16" x14ac:dyDescent="0.35">
      <c r="A39" s="13">
        <v>41609</v>
      </c>
      <c r="B39" s="7">
        <v>8830</v>
      </c>
      <c r="C39" s="7">
        <v>42</v>
      </c>
      <c r="D39" s="7">
        <f t="shared" si="0"/>
        <v>210.23809523809524</v>
      </c>
      <c r="E39" s="24">
        <v>0.42406568516421289</v>
      </c>
      <c r="F39" s="24">
        <f t="shared" si="1"/>
        <v>0.57593431483578716</v>
      </c>
      <c r="G39" s="7">
        <v>0</v>
      </c>
      <c r="H39" s="7">
        <v>0</v>
      </c>
      <c r="I39" s="7">
        <f t="shared" si="3"/>
        <v>0</v>
      </c>
      <c r="J39" s="24">
        <v>0</v>
      </c>
      <c r="K39" s="24">
        <f t="shared" si="2"/>
        <v>1</v>
      </c>
      <c r="M39" s="7">
        <f t="shared" si="4"/>
        <v>8830</v>
      </c>
      <c r="N39" s="7">
        <f t="shared" si="5"/>
        <v>42</v>
      </c>
      <c r="O39" s="7">
        <f t="shared" si="6"/>
        <v>210.23809523809524</v>
      </c>
      <c r="P39" s="10">
        <f t="shared" si="7"/>
        <v>0.57593431483578716</v>
      </c>
    </row>
    <row r="40" spans="1:16" s="19" customFormat="1" ht="15" thickBot="1" x14ac:dyDescent="0.4">
      <c r="A40" s="19">
        <v>2013</v>
      </c>
      <c r="B40" s="17">
        <f>SUM(B28:B39)</f>
        <v>84938.327999999994</v>
      </c>
      <c r="C40" s="17">
        <f>SUM(C28:C39)</f>
        <v>330</v>
      </c>
      <c r="D40" s="17">
        <f t="shared" si="0"/>
        <v>257.38887272727271</v>
      </c>
      <c r="G40" s="17">
        <f>SUM(G28:G39)</f>
        <v>6415.5280000000002</v>
      </c>
      <c r="H40" s="17">
        <f>SUM(H28:H39)</f>
        <v>26</v>
      </c>
      <c r="I40" s="17">
        <f t="shared" ref="I40" si="11">G40/H40</f>
        <v>246.75107692307694</v>
      </c>
      <c r="M40" s="17">
        <f>SUM(M28:M39)</f>
        <v>91353.856</v>
      </c>
      <c r="N40" s="17">
        <f>SUM(N28:N39)</f>
        <v>356</v>
      </c>
      <c r="O40" s="17">
        <f t="shared" ref="O40" si="12">M40/N40</f>
        <v>256.6119550561798</v>
      </c>
    </row>
    <row r="41" spans="1:16" x14ac:dyDescent="0.35">
      <c r="A41" s="13">
        <v>41640</v>
      </c>
      <c r="B41" s="7">
        <v>1473.884</v>
      </c>
      <c r="C41" s="7">
        <v>8</v>
      </c>
      <c r="D41" s="7">
        <f t="shared" si="0"/>
        <v>184.2355</v>
      </c>
      <c r="E41" s="24">
        <v>0.23746780615028049</v>
      </c>
      <c r="F41" s="24">
        <f t="shared" si="1"/>
        <v>0.76253219384971949</v>
      </c>
      <c r="G41" s="7">
        <v>1300</v>
      </c>
      <c r="H41" s="7">
        <v>8</v>
      </c>
      <c r="I41" s="7">
        <f t="shared" si="3"/>
        <v>162.5</v>
      </c>
      <c r="J41" s="24">
        <v>0</v>
      </c>
      <c r="K41" s="24">
        <f t="shared" si="2"/>
        <v>1</v>
      </c>
      <c r="M41" s="7">
        <f t="shared" si="4"/>
        <v>2773.884</v>
      </c>
      <c r="N41" s="7">
        <f t="shared" si="5"/>
        <v>16</v>
      </c>
      <c r="O41" s="7">
        <f t="shared" si="6"/>
        <v>173.36775</v>
      </c>
      <c r="P41" s="10">
        <f t="shared" si="7"/>
        <v>0.8812660969248598</v>
      </c>
    </row>
    <row r="42" spans="1:16" x14ac:dyDescent="0.35">
      <c r="A42" s="13">
        <v>41671</v>
      </c>
      <c r="B42" s="7">
        <v>5075.46</v>
      </c>
      <c r="C42" s="7">
        <v>25</v>
      </c>
      <c r="D42" s="7">
        <f t="shared" si="0"/>
        <v>203.01840000000001</v>
      </c>
      <c r="E42" s="24">
        <v>0.61284297383882447</v>
      </c>
      <c r="F42" s="24">
        <f t="shared" si="1"/>
        <v>0.38715702616117553</v>
      </c>
      <c r="G42" s="7">
        <v>300</v>
      </c>
      <c r="H42" s="7">
        <v>4</v>
      </c>
      <c r="I42" s="7">
        <f t="shared" si="3"/>
        <v>75</v>
      </c>
      <c r="J42" s="24">
        <v>0</v>
      </c>
      <c r="K42" s="24">
        <f t="shared" si="2"/>
        <v>1</v>
      </c>
      <c r="M42" s="7">
        <f t="shared" si="4"/>
        <v>5375.46</v>
      </c>
      <c r="N42" s="7">
        <f t="shared" si="5"/>
        <v>29</v>
      </c>
      <c r="O42" s="7">
        <f t="shared" si="6"/>
        <v>185.36068965517242</v>
      </c>
      <c r="P42" s="10">
        <f t="shared" si="7"/>
        <v>0.47168709151825478</v>
      </c>
    </row>
    <row r="43" spans="1:16" x14ac:dyDescent="0.35">
      <c r="A43" s="13">
        <v>41699</v>
      </c>
      <c r="B43" s="7">
        <v>7595</v>
      </c>
      <c r="C43" s="7">
        <v>25</v>
      </c>
      <c r="D43" s="7">
        <f t="shared" si="0"/>
        <v>303.8</v>
      </c>
      <c r="E43" s="24">
        <v>0.70046082949308752</v>
      </c>
      <c r="F43" s="24">
        <f t="shared" si="1"/>
        <v>0.29953917050691248</v>
      </c>
      <c r="G43" s="7">
        <v>0</v>
      </c>
      <c r="H43" s="7">
        <v>0</v>
      </c>
      <c r="I43" s="7">
        <f t="shared" si="3"/>
        <v>0</v>
      </c>
      <c r="J43" s="24">
        <v>0</v>
      </c>
      <c r="K43" s="24">
        <f t="shared" si="2"/>
        <v>1</v>
      </c>
      <c r="M43" s="7">
        <f t="shared" si="4"/>
        <v>7595</v>
      </c>
      <c r="N43" s="7">
        <f t="shared" si="5"/>
        <v>25</v>
      </c>
      <c r="O43" s="7">
        <f t="shared" si="6"/>
        <v>303.8</v>
      </c>
      <c r="P43" s="10">
        <f t="shared" si="7"/>
        <v>0.29953917050691248</v>
      </c>
    </row>
    <row r="44" spans="1:16" x14ac:dyDescent="0.35">
      <c r="A44" s="13">
        <v>41730</v>
      </c>
      <c r="B44" s="7">
        <v>26034.732</v>
      </c>
      <c r="C44" s="7">
        <v>27</v>
      </c>
      <c r="D44" s="7">
        <f t="shared" si="0"/>
        <v>964.24933333333331</v>
      </c>
      <c r="E44" s="24">
        <v>6.9791384831616468E-2</v>
      </c>
      <c r="F44" s="24">
        <f t="shared" si="1"/>
        <v>0.93020861516838349</v>
      </c>
      <c r="G44" s="7">
        <v>770</v>
      </c>
      <c r="H44" s="7">
        <v>3</v>
      </c>
      <c r="I44" s="7">
        <f t="shared" si="3"/>
        <v>256.66666666666669</v>
      </c>
      <c r="J44" s="24">
        <v>0</v>
      </c>
      <c r="K44" s="24">
        <f t="shared" si="2"/>
        <v>1</v>
      </c>
      <c r="M44" s="7">
        <f t="shared" si="4"/>
        <v>26804.732</v>
      </c>
      <c r="N44" s="7">
        <f t="shared" si="5"/>
        <v>30</v>
      </c>
      <c r="O44" s="7">
        <f t="shared" si="6"/>
        <v>893.49106666666671</v>
      </c>
      <c r="P44" s="10">
        <f t="shared" si="7"/>
        <v>0.93718775365154505</v>
      </c>
    </row>
    <row r="45" spans="1:16" x14ac:dyDescent="0.35">
      <c r="A45" s="13">
        <v>41760</v>
      </c>
      <c r="B45" s="7">
        <v>9041</v>
      </c>
      <c r="C45" s="7">
        <v>42</v>
      </c>
      <c r="D45" s="7">
        <f t="shared" si="0"/>
        <v>215.26190476190476</v>
      </c>
      <c r="E45" s="24">
        <v>0.14356818935958413</v>
      </c>
      <c r="F45" s="24">
        <f t="shared" si="1"/>
        <v>0.85643181064041585</v>
      </c>
      <c r="G45" s="7">
        <v>0</v>
      </c>
      <c r="H45" s="7">
        <v>0</v>
      </c>
      <c r="I45" s="7">
        <f t="shared" si="3"/>
        <v>0</v>
      </c>
      <c r="J45" s="24">
        <v>0</v>
      </c>
      <c r="K45" s="24">
        <f t="shared" si="2"/>
        <v>1</v>
      </c>
      <c r="M45" s="7">
        <f t="shared" si="4"/>
        <v>9041</v>
      </c>
      <c r="N45" s="7">
        <f t="shared" si="5"/>
        <v>42</v>
      </c>
      <c r="O45" s="7">
        <f t="shared" si="6"/>
        <v>215.26190476190476</v>
      </c>
      <c r="P45" s="10">
        <f t="shared" si="7"/>
        <v>0.85643181064041585</v>
      </c>
    </row>
    <row r="46" spans="1:16" x14ac:dyDescent="0.35">
      <c r="A46" s="13">
        <v>41791</v>
      </c>
      <c r="B46" s="7">
        <v>48716.3</v>
      </c>
      <c r="C46" s="7">
        <v>38</v>
      </c>
      <c r="D46" s="7">
        <f t="shared" si="0"/>
        <v>1282.0078947368422</v>
      </c>
      <c r="E46" s="24">
        <v>7.1269780340460998E-2</v>
      </c>
      <c r="F46" s="24">
        <f t="shared" si="1"/>
        <v>0.92873021965953906</v>
      </c>
      <c r="G46" s="7">
        <v>300.89999999999998</v>
      </c>
      <c r="H46" s="7">
        <v>2</v>
      </c>
      <c r="I46" s="7">
        <f t="shared" si="3"/>
        <v>150.44999999999999</v>
      </c>
      <c r="J46" s="24">
        <v>0</v>
      </c>
      <c r="K46" s="24">
        <f t="shared" si="2"/>
        <v>1</v>
      </c>
      <c r="M46" s="7">
        <f t="shared" si="4"/>
        <v>49017.200000000004</v>
      </c>
      <c r="N46" s="7">
        <f t="shared" si="5"/>
        <v>40</v>
      </c>
      <c r="O46" s="7">
        <f t="shared" si="6"/>
        <v>1225.43</v>
      </c>
      <c r="P46" s="10">
        <f t="shared" si="7"/>
        <v>0.93229370867656214</v>
      </c>
    </row>
    <row r="47" spans="1:16" x14ac:dyDescent="0.35">
      <c r="A47" s="13">
        <v>41821</v>
      </c>
      <c r="B47" s="7">
        <v>3705</v>
      </c>
      <c r="C47" s="7">
        <v>23</v>
      </c>
      <c r="D47" s="7">
        <f t="shared" si="0"/>
        <v>161.08695652173913</v>
      </c>
      <c r="E47" s="24">
        <v>0.6048582995951417</v>
      </c>
      <c r="F47" s="24">
        <f t="shared" si="1"/>
        <v>0.3951417004048583</v>
      </c>
      <c r="G47" s="7">
        <v>0</v>
      </c>
      <c r="H47" s="7">
        <v>0</v>
      </c>
      <c r="I47" s="7">
        <f t="shared" si="3"/>
        <v>0</v>
      </c>
      <c r="J47" s="24">
        <v>0</v>
      </c>
      <c r="K47" s="24">
        <f t="shared" si="2"/>
        <v>1</v>
      </c>
      <c r="M47" s="7">
        <f t="shared" si="4"/>
        <v>3705</v>
      </c>
      <c r="N47" s="7">
        <f t="shared" si="5"/>
        <v>23</v>
      </c>
      <c r="O47" s="7">
        <f t="shared" si="6"/>
        <v>161.08695652173913</v>
      </c>
      <c r="P47" s="10">
        <f t="shared" si="7"/>
        <v>0.3951417004048583</v>
      </c>
    </row>
    <row r="48" spans="1:16" x14ac:dyDescent="0.35">
      <c r="A48" s="13">
        <v>41852</v>
      </c>
      <c r="B48" s="7">
        <v>3405</v>
      </c>
      <c r="C48" s="7">
        <v>26</v>
      </c>
      <c r="D48" s="7">
        <f t="shared" si="0"/>
        <v>130.96153846153845</v>
      </c>
      <c r="E48" s="24">
        <v>0.4157063142437592</v>
      </c>
      <c r="F48" s="24">
        <f t="shared" si="1"/>
        <v>0.58429368575624085</v>
      </c>
      <c r="G48" s="7">
        <v>0</v>
      </c>
      <c r="H48" s="7">
        <v>0</v>
      </c>
      <c r="I48" s="7">
        <f t="shared" si="3"/>
        <v>0</v>
      </c>
      <c r="J48" s="24">
        <v>0</v>
      </c>
      <c r="K48" s="24">
        <f t="shared" si="2"/>
        <v>1</v>
      </c>
      <c r="M48" s="7">
        <f t="shared" si="4"/>
        <v>3405</v>
      </c>
      <c r="N48" s="7">
        <f t="shared" si="5"/>
        <v>26</v>
      </c>
      <c r="O48" s="7">
        <f t="shared" si="6"/>
        <v>130.96153846153845</v>
      </c>
      <c r="P48" s="10">
        <f t="shared" si="7"/>
        <v>0.58429368575624085</v>
      </c>
    </row>
    <row r="49" spans="1:16" x14ac:dyDescent="0.35">
      <c r="A49" s="13">
        <v>41883</v>
      </c>
      <c r="B49" s="7">
        <v>6694.7451042499997</v>
      </c>
      <c r="C49" s="7">
        <v>27</v>
      </c>
      <c r="D49" s="7">
        <f t="shared" si="0"/>
        <v>247.95352237962962</v>
      </c>
      <c r="E49" s="24">
        <v>0.35908760738328932</v>
      </c>
      <c r="F49" s="24">
        <f t="shared" si="1"/>
        <v>0.64091239261671062</v>
      </c>
      <c r="G49" s="7">
        <v>227.55</v>
      </c>
      <c r="H49" s="7">
        <v>0</v>
      </c>
      <c r="I49" s="7">
        <f t="shared" si="3"/>
        <v>0</v>
      </c>
      <c r="J49" s="24">
        <v>0</v>
      </c>
      <c r="K49" s="24">
        <f t="shared" si="2"/>
        <v>1</v>
      </c>
      <c r="M49" s="7">
        <f t="shared" si="4"/>
        <v>6922.2951042499999</v>
      </c>
      <c r="N49" s="7">
        <f t="shared" si="5"/>
        <v>27</v>
      </c>
      <c r="O49" s="7">
        <f t="shared" si="6"/>
        <v>256.3813001574074</v>
      </c>
      <c r="P49" s="10">
        <f t="shared" si="7"/>
        <v>0.64091239261671062</v>
      </c>
    </row>
    <row r="50" spans="1:16" x14ac:dyDescent="0.35">
      <c r="A50" s="13">
        <v>41913</v>
      </c>
      <c r="B50" s="7">
        <v>3804</v>
      </c>
      <c r="C50" s="7">
        <v>29</v>
      </c>
      <c r="D50" s="7">
        <f t="shared" si="0"/>
        <v>131.17241379310346</v>
      </c>
      <c r="E50" s="24">
        <v>0.29889589905362773</v>
      </c>
      <c r="F50" s="24">
        <f t="shared" si="1"/>
        <v>0.70110410094637232</v>
      </c>
      <c r="G50" s="7">
        <v>1200</v>
      </c>
      <c r="H50" s="7">
        <v>4</v>
      </c>
      <c r="I50" s="7">
        <f t="shared" si="3"/>
        <v>300</v>
      </c>
      <c r="J50" s="24">
        <v>0</v>
      </c>
      <c r="K50" s="24">
        <f t="shared" si="2"/>
        <v>1</v>
      </c>
      <c r="M50" s="7">
        <f t="shared" si="4"/>
        <v>5004</v>
      </c>
      <c r="N50" s="7">
        <f t="shared" si="5"/>
        <v>33</v>
      </c>
      <c r="O50" s="7">
        <f t="shared" si="6"/>
        <v>151.63636363636363</v>
      </c>
      <c r="P50" s="10">
        <f t="shared" si="7"/>
        <v>0.73733390689226652</v>
      </c>
    </row>
    <row r="51" spans="1:16" x14ac:dyDescent="0.35">
      <c r="A51" s="13">
        <v>41944</v>
      </c>
      <c r="B51" s="7">
        <v>8959.2090000000007</v>
      </c>
      <c r="C51" s="7">
        <v>19</v>
      </c>
      <c r="D51" s="7">
        <f t="shared" si="0"/>
        <v>471.53731578947372</v>
      </c>
      <c r="E51" s="24">
        <v>0.24060036996569675</v>
      </c>
      <c r="F51" s="24">
        <f t="shared" si="1"/>
        <v>0.75939963003430322</v>
      </c>
      <c r="G51" s="7">
        <v>446</v>
      </c>
      <c r="H51" s="7">
        <v>3</v>
      </c>
      <c r="I51" s="7">
        <f t="shared" si="3"/>
        <v>148.66666666666666</v>
      </c>
      <c r="J51" s="24">
        <v>0</v>
      </c>
      <c r="K51" s="24">
        <f t="shared" si="2"/>
        <v>1</v>
      </c>
      <c r="M51" s="7">
        <f t="shared" si="4"/>
        <v>9405.2090000000007</v>
      </c>
      <c r="N51" s="7">
        <f t="shared" si="5"/>
        <v>22</v>
      </c>
      <c r="O51" s="7">
        <f t="shared" si="6"/>
        <v>427.50950000000006</v>
      </c>
      <c r="P51" s="10">
        <f t="shared" si="7"/>
        <v>0.79220877139326196</v>
      </c>
    </row>
    <row r="52" spans="1:16" x14ac:dyDescent="0.35">
      <c r="A52" s="13">
        <v>41974</v>
      </c>
      <c r="B52" s="7">
        <v>7354.613402</v>
      </c>
      <c r="C52" s="7">
        <v>41</v>
      </c>
      <c r="D52" s="7">
        <f t="shared" si="0"/>
        <v>179.38081468292683</v>
      </c>
      <c r="E52" s="24">
        <v>0.45591973603942254</v>
      </c>
      <c r="F52" s="24">
        <f t="shared" si="1"/>
        <v>0.54408026396057751</v>
      </c>
      <c r="G52" s="7">
        <v>466</v>
      </c>
      <c r="H52" s="7">
        <v>4</v>
      </c>
      <c r="I52" s="7">
        <f t="shared" si="3"/>
        <v>116.5</v>
      </c>
      <c r="J52" s="24">
        <v>0</v>
      </c>
      <c r="K52" s="24">
        <f t="shared" si="2"/>
        <v>1</v>
      </c>
      <c r="M52" s="7">
        <f t="shared" si="4"/>
        <v>7820.613402</v>
      </c>
      <c r="N52" s="7">
        <f t="shared" si="5"/>
        <v>45</v>
      </c>
      <c r="O52" s="7">
        <f t="shared" si="6"/>
        <v>173.79140893333334</v>
      </c>
      <c r="P52" s="10">
        <f t="shared" si="7"/>
        <v>0.58460646271963723</v>
      </c>
    </row>
    <row r="53" spans="1:16" s="19" customFormat="1" ht="15" thickBot="1" x14ac:dyDescent="0.4">
      <c r="A53" s="19">
        <v>2014</v>
      </c>
      <c r="B53" s="17">
        <f>SUM(B41:B52)</f>
        <v>131858.94350625001</v>
      </c>
      <c r="C53" s="17">
        <f>SUM(C41:C52)</f>
        <v>330</v>
      </c>
      <c r="D53" s="17">
        <f t="shared" si="0"/>
        <v>399.57255607954551</v>
      </c>
      <c r="G53" s="17">
        <f>SUM(G41:G52)</f>
        <v>5010.4500000000007</v>
      </c>
      <c r="H53" s="17">
        <f>SUM(H41:H52)</f>
        <v>28</v>
      </c>
      <c r="I53" s="17">
        <f t="shared" ref="I53" si="13">G53/H53</f>
        <v>178.9446428571429</v>
      </c>
      <c r="M53" s="17">
        <f>SUM(M41:M52)</f>
        <v>136869.39350625002</v>
      </c>
      <c r="N53" s="17">
        <f>SUM(N41:N52)</f>
        <v>358</v>
      </c>
      <c r="O53" s="17">
        <f t="shared" ref="O53" si="14">M53/N53</f>
        <v>382.31674163756992</v>
      </c>
    </row>
    <row r="54" spans="1:16" x14ac:dyDescent="0.35">
      <c r="A54" s="13">
        <v>42005</v>
      </c>
      <c r="B54" s="7">
        <v>13149.797</v>
      </c>
      <c r="C54" s="7">
        <v>19</v>
      </c>
      <c r="D54" s="7">
        <f t="shared" si="0"/>
        <v>692.0945789473684</v>
      </c>
      <c r="E54" s="24">
        <v>0.10517272624056478</v>
      </c>
      <c r="F54" s="24">
        <f t="shared" si="1"/>
        <v>0.89482727375943516</v>
      </c>
      <c r="G54" s="7">
        <v>0</v>
      </c>
      <c r="H54" s="7">
        <v>0</v>
      </c>
      <c r="I54" s="7">
        <f t="shared" si="3"/>
        <v>0</v>
      </c>
      <c r="J54" s="24">
        <v>0</v>
      </c>
      <c r="K54" s="24">
        <f t="shared" si="2"/>
        <v>1</v>
      </c>
      <c r="M54" s="7">
        <f t="shared" si="4"/>
        <v>13149.797</v>
      </c>
      <c r="N54" s="7">
        <f t="shared" si="5"/>
        <v>19</v>
      </c>
      <c r="O54" s="7">
        <f t="shared" si="6"/>
        <v>692.0945789473684</v>
      </c>
      <c r="P54" s="10">
        <f t="shared" si="7"/>
        <v>0.89482727375943505</v>
      </c>
    </row>
    <row r="55" spans="1:16" x14ac:dyDescent="0.35">
      <c r="A55" s="13">
        <v>42036</v>
      </c>
      <c r="B55" s="7">
        <v>2593</v>
      </c>
      <c r="C55" s="7">
        <v>11</v>
      </c>
      <c r="D55" s="7">
        <f t="shared" si="0"/>
        <v>235.72727272727272</v>
      </c>
      <c r="E55" s="24">
        <v>0.91129965291168535</v>
      </c>
      <c r="F55" s="24">
        <f t="shared" si="1"/>
        <v>8.8700347088314646E-2</v>
      </c>
      <c r="G55" s="7">
        <v>550.726</v>
      </c>
      <c r="H55" s="7">
        <v>2</v>
      </c>
      <c r="I55" s="7">
        <f t="shared" si="3"/>
        <v>275.363</v>
      </c>
      <c r="J55" s="24">
        <v>0</v>
      </c>
      <c r="K55" s="24">
        <f t="shared" si="2"/>
        <v>1</v>
      </c>
      <c r="M55" s="7">
        <f t="shared" si="4"/>
        <v>3143.7260000000001</v>
      </c>
      <c r="N55" s="7">
        <f t="shared" si="5"/>
        <v>13</v>
      </c>
      <c r="O55" s="7">
        <f t="shared" si="6"/>
        <v>241.82507692307692</v>
      </c>
      <c r="P55" s="10">
        <f t="shared" si="7"/>
        <v>0.22890029369011239</v>
      </c>
    </row>
    <row r="56" spans="1:16" x14ac:dyDescent="0.35">
      <c r="A56" s="13">
        <v>42064</v>
      </c>
      <c r="B56" s="7">
        <v>4033</v>
      </c>
      <c r="C56" s="7">
        <v>21</v>
      </c>
      <c r="D56" s="7">
        <f t="shared" si="0"/>
        <v>192.04761904761904</v>
      </c>
      <c r="E56" s="24">
        <v>0.62529630547979176</v>
      </c>
      <c r="F56" s="24">
        <f t="shared" si="1"/>
        <v>0.37470369452020824</v>
      </c>
      <c r="G56" s="7">
        <v>320.899</v>
      </c>
      <c r="H56" s="7">
        <v>1</v>
      </c>
      <c r="I56" s="7">
        <f t="shared" si="3"/>
        <v>320.899</v>
      </c>
      <c r="J56" s="24">
        <v>0</v>
      </c>
      <c r="K56" s="24">
        <f t="shared" si="2"/>
        <v>1</v>
      </c>
      <c r="M56" s="7">
        <f t="shared" si="4"/>
        <v>4353.8990000000003</v>
      </c>
      <c r="N56" s="7">
        <f t="shared" si="5"/>
        <v>22</v>
      </c>
      <c r="O56" s="7">
        <f t="shared" si="6"/>
        <v>197.90450000000001</v>
      </c>
      <c r="P56" s="10">
        <f t="shared" si="7"/>
        <v>0.40312625386019879</v>
      </c>
    </row>
    <row r="57" spans="1:16" x14ac:dyDescent="0.35">
      <c r="A57" s="13">
        <v>42095</v>
      </c>
      <c r="B57" s="7">
        <v>9517.4500000000007</v>
      </c>
      <c r="C57" s="7">
        <v>20</v>
      </c>
      <c r="D57" s="7">
        <f t="shared" si="0"/>
        <v>475.87250000000006</v>
      </c>
      <c r="E57" s="24">
        <v>0.75251249021534128</v>
      </c>
      <c r="F57" s="24">
        <f t="shared" si="1"/>
        <v>0.24748750978465872</v>
      </c>
      <c r="G57" s="7">
        <v>440</v>
      </c>
      <c r="H57" s="7">
        <v>2</v>
      </c>
      <c r="I57" s="7">
        <f t="shared" si="3"/>
        <v>220</v>
      </c>
      <c r="J57" s="24">
        <v>0</v>
      </c>
      <c r="K57" s="24">
        <f t="shared" si="2"/>
        <v>1</v>
      </c>
      <c r="M57" s="7">
        <f t="shared" si="4"/>
        <v>9957.4500000000007</v>
      </c>
      <c r="N57" s="7">
        <f t="shared" si="5"/>
        <v>22</v>
      </c>
      <c r="O57" s="7">
        <f t="shared" si="6"/>
        <v>452.61136363636365</v>
      </c>
      <c r="P57" s="10">
        <f t="shared" si="7"/>
        <v>0.31589773616787159</v>
      </c>
    </row>
    <row r="58" spans="1:16" x14ac:dyDescent="0.35">
      <c r="A58" s="13">
        <v>42125</v>
      </c>
      <c r="B58" s="7">
        <v>4868</v>
      </c>
      <c r="C58" s="7">
        <v>21</v>
      </c>
      <c r="D58" s="7">
        <f t="shared" si="0"/>
        <v>231.8095238095238</v>
      </c>
      <c r="E58" s="24">
        <v>0.27629416598192275</v>
      </c>
      <c r="F58" s="24">
        <f t="shared" si="1"/>
        <v>0.72370583401807731</v>
      </c>
      <c r="G58" s="7">
        <v>0</v>
      </c>
      <c r="H58" s="7">
        <v>0</v>
      </c>
      <c r="I58" s="7">
        <f t="shared" si="3"/>
        <v>0</v>
      </c>
      <c r="J58" s="24">
        <v>0</v>
      </c>
      <c r="K58" s="24">
        <f t="shared" si="2"/>
        <v>1</v>
      </c>
      <c r="M58" s="7">
        <f t="shared" si="4"/>
        <v>4868</v>
      </c>
      <c r="N58" s="7">
        <f t="shared" si="5"/>
        <v>21</v>
      </c>
      <c r="O58" s="7">
        <f t="shared" si="6"/>
        <v>231.8095238095238</v>
      </c>
      <c r="P58" s="10">
        <f t="shared" si="7"/>
        <v>0.72370583401807731</v>
      </c>
    </row>
    <row r="59" spans="1:16" x14ac:dyDescent="0.35">
      <c r="A59" s="13">
        <v>42156</v>
      </c>
      <c r="B59" s="7">
        <v>3045.5</v>
      </c>
      <c r="C59" s="7">
        <v>22</v>
      </c>
      <c r="D59" s="7">
        <f t="shared" si="0"/>
        <v>138.43181818181819</v>
      </c>
      <c r="E59" s="24">
        <v>0.62633393531439829</v>
      </c>
      <c r="F59" s="24">
        <f t="shared" si="1"/>
        <v>0.37366606468560171</v>
      </c>
      <c r="G59" s="7">
        <v>547.65800000000002</v>
      </c>
      <c r="H59" s="7">
        <v>5</v>
      </c>
      <c r="I59" s="7">
        <f t="shared" si="3"/>
        <v>109.5316</v>
      </c>
      <c r="J59" s="24">
        <v>0</v>
      </c>
      <c r="K59" s="24">
        <f t="shared" si="2"/>
        <v>1</v>
      </c>
      <c r="M59" s="7">
        <f t="shared" si="4"/>
        <v>3593.1579999999999</v>
      </c>
      <c r="N59" s="7">
        <f t="shared" si="5"/>
        <v>27</v>
      </c>
      <c r="O59" s="7">
        <f t="shared" si="6"/>
        <v>133.07992592592592</v>
      </c>
      <c r="P59" s="10">
        <f t="shared" si="7"/>
        <v>0.4896538304845644</v>
      </c>
    </row>
    <row r="60" spans="1:16" x14ac:dyDescent="0.35">
      <c r="A60" s="13">
        <v>42186</v>
      </c>
      <c r="B60" s="7">
        <v>3260</v>
      </c>
      <c r="C60" s="7">
        <v>18</v>
      </c>
      <c r="D60" s="7">
        <f t="shared" si="0"/>
        <v>181.11111111111111</v>
      </c>
      <c r="E60" s="24">
        <v>0.79838957055214721</v>
      </c>
      <c r="F60" s="24">
        <f t="shared" si="1"/>
        <v>0.20161042944785279</v>
      </c>
      <c r="G60" s="7">
        <v>239</v>
      </c>
      <c r="H60" s="7">
        <v>2</v>
      </c>
      <c r="I60" s="7">
        <f t="shared" si="3"/>
        <v>119.5</v>
      </c>
      <c r="J60" s="24">
        <v>0</v>
      </c>
      <c r="K60" s="24">
        <f t="shared" si="2"/>
        <v>1</v>
      </c>
      <c r="M60" s="7">
        <f t="shared" si="4"/>
        <v>3499</v>
      </c>
      <c r="N60" s="7">
        <f t="shared" si="5"/>
        <v>20</v>
      </c>
      <c r="O60" s="7">
        <f t="shared" si="6"/>
        <v>174.95</v>
      </c>
      <c r="P60" s="10">
        <f t="shared" si="7"/>
        <v>0.2814493865030675</v>
      </c>
    </row>
    <row r="61" spans="1:16" x14ac:dyDescent="0.35">
      <c r="A61" s="13">
        <v>42217</v>
      </c>
      <c r="B61" s="7">
        <v>6068.54</v>
      </c>
      <c r="C61" s="7">
        <v>22</v>
      </c>
      <c r="D61" s="7">
        <f t="shared" si="0"/>
        <v>275.84272727272725</v>
      </c>
      <c r="E61" s="24">
        <v>0.17055173072930227</v>
      </c>
      <c r="F61" s="24">
        <f t="shared" si="1"/>
        <v>0.8294482692706977</v>
      </c>
      <c r="G61" s="7">
        <v>1450</v>
      </c>
      <c r="H61" s="7">
        <v>3</v>
      </c>
      <c r="I61" s="7">
        <f t="shared" si="3"/>
        <v>483.33333333333331</v>
      </c>
      <c r="J61" s="24">
        <v>0</v>
      </c>
      <c r="K61" s="24">
        <f t="shared" si="2"/>
        <v>1</v>
      </c>
      <c r="M61" s="7">
        <f t="shared" si="4"/>
        <v>7518.54</v>
      </c>
      <c r="N61" s="7">
        <f t="shared" si="5"/>
        <v>25</v>
      </c>
      <c r="O61" s="7">
        <f t="shared" si="6"/>
        <v>300.74160000000001</v>
      </c>
      <c r="P61" s="10">
        <f t="shared" si="7"/>
        <v>0.84991447695821387</v>
      </c>
    </row>
    <row r="62" spans="1:16" x14ac:dyDescent="0.35">
      <c r="A62" s="13">
        <v>42248</v>
      </c>
      <c r="B62" s="7">
        <v>3778.6529999999998</v>
      </c>
      <c r="C62" s="7">
        <v>15</v>
      </c>
      <c r="D62" s="7">
        <f t="shared" si="0"/>
        <v>251.91019999999997</v>
      </c>
      <c r="E62" s="24">
        <v>0.71550708678462938</v>
      </c>
      <c r="F62" s="24">
        <f t="shared" si="1"/>
        <v>0.28449291321537062</v>
      </c>
      <c r="G62" s="7">
        <v>338.95299999999997</v>
      </c>
      <c r="H62" s="7">
        <v>3</v>
      </c>
      <c r="I62" s="7">
        <f t="shared" si="3"/>
        <v>112.98433333333332</v>
      </c>
      <c r="J62" s="24">
        <v>0</v>
      </c>
      <c r="K62" s="24">
        <f t="shared" si="2"/>
        <v>1</v>
      </c>
      <c r="M62" s="7">
        <f t="shared" si="4"/>
        <v>4117.6059999999998</v>
      </c>
      <c r="N62" s="7">
        <f t="shared" si="5"/>
        <v>18</v>
      </c>
      <c r="O62" s="7">
        <f t="shared" si="6"/>
        <v>228.75588888888888</v>
      </c>
      <c r="P62" s="10">
        <f t="shared" si="7"/>
        <v>0.40374409434614222</v>
      </c>
    </row>
    <row r="63" spans="1:16" x14ac:dyDescent="0.35">
      <c r="A63" s="13">
        <v>42278</v>
      </c>
      <c r="B63" s="7">
        <v>4142.6864999999998</v>
      </c>
      <c r="C63" s="7">
        <v>35</v>
      </c>
      <c r="D63" s="7">
        <f t="shared" si="0"/>
        <v>118.36247142857142</v>
      </c>
      <c r="E63" s="24">
        <v>0.42130330161357854</v>
      </c>
      <c r="F63" s="24">
        <f t="shared" si="1"/>
        <v>0.57869669838642146</v>
      </c>
      <c r="G63" s="7">
        <v>1225.0999999999999</v>
      </c>
      <c r="H63" s="7">
        <v>4</v>
      </c>
      <c r="I63" s="7">
        <f t="shared" si="3"/>
        <v>306.27499999999998</v>
      </c>
      <c r="J63" s="24">
        <v>0</v>
      </c>
      <c r="K63" s="24">
        <f t="shared" si="2"/>
        <v>1</v>
      </c>
      <c r="M63" s="7">
        <f t="shared" si="4"/>
        <v>5367.7865000000002</v>
      </c>
      <c r="N63" s="7">
        <f t="shared" si="5"/>
        <v>39</v>
      </c>
      <c r="O63" s="7">
        <f t="shared" si="6"/>
        <v>137.6355512820513</v>
      </c>
      <c r="P63" s="10">
        <f t="shared" si="7"/>
        <v>0.62190729342371154</v>
      </c>
    </row>
    <row r="64" spans="1:16" x14ac:dyDescent="0.35">
      <c r="A64" s="13">
        <v>42309</v>
      </c>
      <c r="B64" s="7">
        <v>3285.5</v>
      </c>
      <c r="C64" s="7">
        <v>19</v>
      </c>
      <c r="D64" s="7">
        <f t="shared" si="0"/>
        <v>172.92105263157896</v>
      </c>
      <c r="E64" s="24">
        <v>0.23588494901841425</v>
      </c>
      <c r="F64" s="24">
        <f t="shared" si="1"/>
        <v>0.76411505098158572</v>
      </c>
      <c r="G64" s="7">
        <v>0</v>
      </c>
      <c r="H64" s="7">
        <v>0</v>
      </c>
      <c r="I64" s="7">
        <f t="shared" si="3"/>
        <v>0</v>
      </c>
      <c r="J64" s="24">
        <v>0</v>
      </c>
      <c r="K64" s="24">
        <f t="shared" si="2"/>
        <v>1</v>
      </c>
      <c r="M64" s="7">
        <f t="shared" si="4"/>
        <v>3285.5</v>
      </c>
      <c r="N64" s="7">
        <f t="shared" si="5"/>
        <v>19</v>
      </c>
      <c r="O64" s="7">
        <f t="shared" si="6"/>
        <v>172.92105263157896</v>
      </c>
      <c r="P64" s="10">
        <f t="shared" si="7"/>
        <v>0.76411505098158572</v>
      </c>
    </row>
    <row r="65" spans="1:16" x14ac:dyDescent="0.35">
      <c r="A65" s="13">
        <v>42339</v>
      </c>
      <c r="B65" s="7">
        <v>11819.242</v>
      </c>
      <c r="C65" s="7">
        <v>23</v>
      </c>
      <c r="D65" s="7">
        <f t="shared" si="0"/>
        <v>513.88008695652172</v>
      </c>
      <c r="E65" s="24">
        <v>0.46464417938138503</v>
      </c>
      <c r="F65" s="24">
        <f t="shared" si="1"/>
        <v>0.53535582061861497</v>
      </c>
      <c r="G65" s="7">
        <v>893.65200000000004</v>
      </c>
      <c r="H65" s="7">
        <v>4</v>
      </c>
      <c r="I65" s="7">
        <f t="shared" si="3"/>
        <v>223.41300000000001</v>
      </c>
      <c r="J65" s="24">
        <v>0</v>
      </c>
      <c r="K65" s="24">
        <f t="shared" si="2"/>
        <v>1</v>
      </c>
      <c r="M65" s="7">
        <f t="shared" si="4"/>
        <v>12712.894</v>
      </c>
      <c r="N65" s="7">
        <f t="shared" si="5"/>
        <v>27</v>
      </c>
      <c r="O65" s="7">
        <f t="shared" si="6"/>
        <v>470.84792592592595</v>
      </c>
      <c r="P65" s="10">
        <f t="shared" si="7"/>
        <v>0.60419199534178314</v>
      </c>
    </row>
    <row r="66" spans="1:16" s="19" customFormat="1" ht="15" thickBot="1" x14ac:dyDescent="0.4">
      <c r="A66" s="19">
        <v>2015</v>
      </c>
      <c r="B66" s="17">
        <f>SUM(B54:B65)</f>
        <v>69561.368499999997</v>
      </c>
      <c r="C66" s="17">
        <f>SUM(C54:C65)</f>
        <v>246</v>
      </c>
      <c r="D66" s="17">
        <f t="shared" ref="D66" si="15">B66/C66</f>
        <v>282.76979065040649</v>
      </c>
      <c r="G66" s="17">
        <f>SUM(G54:G65)</f>
        <v>6005.9879999999994</v>
      </c>
      <c r="H66" s="17">
        <f>SUM(H54:H65)</f>
        <v>26</v>
      </c>
      <c r="I66" s="17">
        <f t="shared" ref="I66" si="16">G66/H66</f>
        <v>230.99953846153844</v>
      </c>
      <c r="M66" s="17">
        <f>SUM(M54:M65)</f>
        <v>75567.356500000009</v>
      </c>
      <c r="N66" s="17">
        <f>SUM(N54:N65)</f>
        <v>272</v>
      </c>
      <c r="O66" s="17">
        <f t="shared" ref="O66" si="17">M66/N66</f>
        <v>277.82116360294123</v>
      </c>
    </row>
    <row r="67" spans="1:16" x14ac:dyDescent="0.35">
      <c r="A67" s="13">
        <v>42370</v>
      </c>
      <c r="B67" s="7">
        <v>3074.2930000000001</v>
      </c>
      <c r="C67" s="7">
        <v>50</v>
      </c>
      <c r="D67" s="7">
        <f>B67/C67</f>
        <v>61.485860000000002</v>
      </c>
      <c r="E67" s="24">
        <v>0.78856829846732246</v>
      </c>
      <c r="F67" s="24">
        <f t="shared" si="1"/>
        <v>0.21143170153267754</v>
      </c>
      <c r="G67" s="7">
        <v>0</v>
      </c>
      <c r="H67" s="7">
        <v>0</v>
      </c>
      <c r="I67" s="7">
        <f t="shared" si="3"/>
        <v>0</v>
      </c>
      <c r="J67" s="24">
        <v>0</v>
      </c>
      <c r="K67" s="24">
        <f t="shared" si="2"/>
        <v>1</v>
      </c>
      <c r="M67" s="7">
        <f t="shared" si="4"/>
        <v>3074.2930000000001</v>
      </c>
      <c r="N67" s="7">
        <f t="shared" si="5"/>
        <v>50</v>
      </c>
      <c r="O67" s="7">
        <f t="shared" si="6"/>
        <v>61.485860000000002</v>
      </c>
      <c r="P67" s="10">
        <f t="shared" si="7"/>
        <v>0.21143170153267754</v>
      </c>
    </row>
    <row r="68" spans="1:16" x14ac:dyDescent="0.35">
      <c r="A68" s="13">
        <v>42401</v>
      </c>
      <c r="B68" s="7">
        <v>2564</v>
      </c>
      <c r="C68" s="7">
        <v>5</v>
      </c>
      <c r="D68" s="7">
        <f t="shared" ref="D68:D136" si="18">B68/C68</f>
        <v>512.79999999999995</v>
      </c>
      <c r="E68" s="24">
        <v>1</v>
      </c>
      <c r="F68" s="24">
        <f t="shared" si="1"/>
        <v>0</v>
      </c>
      <c r="G68" s="7">
        <v>0</v>
      </c>
      <c r="H68" s="7">
        <v>0</v>
      </c>
      <c r="I68" s="7">
        <f t="shared" si="3"/>
        <v>0</v>
      </c>
      <c r="J68" s="24">
        <v>0</v>
      </c>
      <c r="K68" s="24">
        <f t="shared" si="2"/>
        <v>1</v>
      </c>
      <c r="M68" s="7">
        <f t="shared" si="4"/>
        <v>2564</v>
      </c>
      <c r="N68" s="7">
        <f t="shared" si="5"/>
        <v>5</v>
      </c>
      <c r="O68" s="7">
        <f t="shared" si="6"/>
        <v>512.79999999999995</v>
      </c>
      <c r="P68" s="10">
        <f t="shared" si="7"/>
        <v>0</v>
      </c>
    </row>
    <row r="69" spans="1:16" x14ac:dyDescent="0.35">
      <c r="A69" s="13">
        <v>42430</v>
      </c>
      <c r="B69" s="7">
        <v>21235</v>
      </c>
      <c r="C69" s="7">
        <v>13</v>
      </c>
      <c r="D69" s="7">
        <f t="shared" si="18"/>
        <v>1633.4615384615386</v>
      </c>
      <c r="E69" s="24">
        <v>5.5333176359783375E-2</v>
      </c>
      <c r="F69" s="24">
        <f t="shared" si="1"/>
        <v>0.94466682364021659</v>
      </c>
      <c r="G69" s="7">
        <v>307</v>
      </c>
      <c r="H69" s="7">
        <v>2</v>
      </c>
      <c r="I69" s="7">
        <f t="shared" si="3"/>
        <v>153.5</v>
      </c>
      <c r="J69" s="24">
        <v>0</v>
      </c>
      <c r="K69" s="24">
        <f t="shared" si="2"/>
        <v>1</v>
      </c>
      <c r="M69" s="7">
        <f t="shared" si="4"/>
        <v>21542</v>
      </c>
      <c r="N69" s="7">
        <f t="shared" si="5"/>
        <v>15</v>
      </c>
      <c r="O69" s="7">
        <f t="shared" si="6"/>
        <v>1436.1333333333334</v>
      </c>
      <c r="P69" s="10">
        <f t="shared" si="7"/>
        <v>0.95204458048818774</v>
      </c>
    </row>
    <row r="70" spans="1:16" x14ac:dyDescent="0.35">
      <c r="A70" s="13">
        <v>42461</v>
      </c>
      <c r="B70" s="7">
        <v>2015</v>
      </c>
      <c r="C70" s="7">
        <v>19</v>
      </c>
      <c r="D70" s="7">
        <f t="shared" si="18"/>
        <v>106.05263157894737</v>
      </c>
      <c r="E70" s="24">
        <v>0.92555831265508681</v>
      </c>
      <c r="F70" s="24">
        <f t="shared" si="1"/>
        <v>7.4441687344913188E-2</v>
      </c>
      <c r="G70" s="7">
        <v>0</v>
      </c>
      <c r="H70" s="7">
        <v>0</v>
      </c>
      <c r="I70" s="7">
        <f t="shared" si="3"/>
        <v>0</v>
      </c>
      <c r="J70" s="24">
        <v>0</v>
      </c>
      <c r="K70" s="24">
        <f t="shared" si="2"/>
        <v>1</v>
      </c>
      <c r="M70" s="7">
        <f t="shared" si="4"/>
        <v>2015</v>
      </c>
      <c r="N70" s="7">
        <f t="shared" si="5"/>
        <v>19</v>
      </c>
      <c r="O70" s="7">
        <f t="shared" si="6"/>
        <v>106.05263157894737</v>
      </c>
      <c r="P70" s="10">
        <f t="shared" si="7"/>
        <v>7.4441687344913188E-2</v>
      </c>
    </row>
    <row r="71" spans="1:16" x14ac:dyDescent="0.35">
      <c r="A71" s="13">
        <v>42491</v>
      </c>
      <c r="B71" s="7">
        <v>4932.3029999999999</v>
      </c>
      <c r="C71" s="7">
        <v>18</v>
      </c>
      <c r="D71" s="7">
        <f t="shared" si="18"/>
        <v>274.01683333333335</v>
      </c>
      <c r="E71" s="24">
        <v>0.24491601590575438</v>
      </c>
      <c r="F71" s="24">
        <f t="shared" ref="F71:F139" si="19">1-E71</f>
        <v>0.7550839840942456</v>
      </c>
      <c r="G71" s="7">
        <v>455</v>
      </c>
      <c r="H71" s="7">
        <v>3</v>
      </c>
      <c r="I71" s="7">
        <f t="shared" si="3"/>
        <v>151.66666666666666</v>
      </c>
      <c r="J71" s="24">
        <v>0</v>
      </c>
      <c r="K71" s="24">
        <f t="shared" ref="K71:K139" si="20">1-J71</f>
        <v>1</v>
      </c>
      <c r="M71" s="7">
        <f t="shared" si="4"/>
        <v>5387.3029999999999</v>
      </c>
      <c r="N71" s="7">
        <f t="shared" si="5"/>
        <v>21</v>
      </c>
      <c r="O71" s="7">
        <f t="shared" si="6"/>
        <v>256.53823809523811</v>
      </c>
      <c r="P71" s="10">
        <f t="shared" si="7"/>
        <v>0.79007198636649623</v>
      </c>
    </row>
    <row r="72" spans="1:16" x14ac:dyDescent="0.35">
      <c r="A72" s="13">
        <v>42522</v>
      </c>
      <c r="B72" s="7">
        <v>5256.2222750000001</v>
      </c>
      <c r="C72" s="7">
        <v>15</v>
      </c>
      <c r="D72" s="7">
        <f t="shared" si="18"/>
        <v>350.41481833333336</v>
      </c>
      <c r="E72" s="24">
        <v>0.19493334687791528</v>
      </c>
      <c r="F72" s="24">
        <f t="shared" si="19"/>
        <v>0.8050666531220847</v>
      </c>
      <c r="G72" s="7">
        <v>68</v>
      </c>
      <c r="H72" s="7">
        <v>2</v>
      </c>
      <c r="I72" s="7">
        <f t="shared" ref="I72:I140" si="21">IFERROR(G72/H72,0)</f>
        <v>34</v>
      </c>
      <c r="J72" s="24">
        <v>0</v>
      </c>
      <c r="K72" s="24">
        <f t="shared" si="20"/>
        <v>1</v>
      </c>
      <c r="M72" s="7">
        <f t="shared" ref="M72:M140" si="22">+B72+G72</f>
        <v>5324.2222750000001</v>
      </c>
      <c r="N72" s="7">
        <f t="shared" ref="N72:N140" si="23">+C72+H72</f>
        <v>17</v>
      </c>
      <c r="O72" s="7">
        <f t="shared" ref="O72:O140" si="24">+M72/N72</f>
        <v>313.18954558823532</v>
      </c>
      <c r="P72" s="10">
        <f t="shared" ref="P72:P140" si="25">((C72*F72)+(H72*K72))/N72</f>
        <v>0.82799998804889829</v>
      </c>
    </row>
    <row r="73" spans="1:16" x14ac:dyDescent="0.35">
      <c r="A73" s="13">
        <v>42552</v>
      </c>
      <c r="B73" s="7">
        <v>8716.7810000000009</v>
      </c>
      <c r="C73" s="7">
        <v>20</v>
      </c>
      <c r="D73" s="7">
        <f t="shared" si="18"/>
        <v>435.83905000000004</v>
      </c>
      <c r="E73" s="24">
        <v>0.53950546652485587</v>
      </c>
      <c r="F73" s="24">
        <f t="shared" si="19"/>
        <v>0.46049453347514413</v>
      </c>
      <c r="G73" s="7">
        <v>748.27</v>
      </c>
      <c r="H73" s="7">
        <v>3</v>
      </c>
      <c r="I73" s="7">
        <f t="shared" si="21"/>
        <v>249.42333333333332</v>
      </c>
      <c r="J73" s="24">
        <v>0</v>
      </c>
      <c r="K73" s="24">
        <f t="shared" si="20"/>
        <v>1</v>
      </c>
      <c r="M73" s="7">
        <f t="shared" si="22"/>
        <v>9465.0510000000013</v>
      </c>
      <c r="N73" s="7">
        <f t="shared" si="23"/>
        <v>23</v>
      </c>
      <c r="O73" s="7">
        <f t="shared" si="24"/>
        <v>411.52395652173919</v>
      </c>
      <c r="P73" s="10">
        <f t="shared" si="25"/>
        <v>0.53086481171751665</v>
      </c>
    </row>
    <row r="74" spans="1:16" x14ac:dyDescent="0.35">
      <c r="A74" s="13">
        <v>42583</v>
      </c>
      <c r="B74" s="7">
        <v>2165.65</v>
      </c>
      <c r="C74" s="7">
        <v>12</v>
      </c>
      <c r="D74" s="7">
        <f t="shared" si="18"/>
        <v>180.47083333333333</v>
      </c>
      <c r="E74" s="24">
        <v>0.69032392122457464</v>
      </c>
      <c r="F74" s="24">
        <f t="shared" si="19"/>
        <v>0.30967607877542536</v>
      </c>
      <c r="G74" s="7">
        <v>175</v>
      </c>
      <c r="H74" s="7">
        <v>1</v>
      </c>
      <c r="I74" s="7">
        <f t="shared" si="21"/>
        <v>175</v>
      </c>
      <c r="J74" s="24">
        <v>0</v>
      </c>
      <c r="K74" s="24">
        <f t="shared" si="20"/>
        <v>1</v>
      </c>
      <c r="M74" s="7">
        <f t="shared" si="22"/>
        <v>2340.65</v>
      </c>
      <c r="N74" s="7">
        <f t="shared" si="23"/>
        <v>13</v>
      </c>
      <c r="O74" s="7">
        <f t="shared" si="24"/>
        <v>180.05</v>
      </c>
      <c r="P74" s="10">
        <f t="shared" si="25"/>
        <v>0.36277791886962341</v>
      </c>
    </row>
    <row r="75" spans="1:16" x14ac:dyDescent="0.35">
      <c r="A75" s="13">
        <v>42614</v>
      </c>
      <c r="B75" s="7">
        <v>1023.3</v>
      </c>
      <c r="C75" s="7">
        <v>14</v>
      </c>
      <c r="D75" s="7">
        <f t="shared" si="18"/>
        <v>73.092857142857142</v>
      </c>
      <c r="E75" s="24">
        <v>0.6227890159288576</v>
      </c>
      <c r="F75" s="24">
        <f t="shared" si="19"/>
        <v>0.3772109840711424</v>
      </c>
      <c r="G75" s="7">
        <v>0</v>
      </c>
      <c r="H75" s="7">
        <v>0</v>
      </c>
      <c r="I75" s="7">
        <f t="shared" si="21"/>
        <v>0</v>
      </c>
      <c r="J75" s="24">
        <v>0</v>
      </c>
      <c r="K75" s="24">
        <f t="shared" si="20"/>
        <v>1</v>
      </c>
      <c r="M75" s="7">
        <f t="shared" si="22"/>
        <v>1023.3</v>
      </c>
      <c r="N75" s="7">
        <f t="shared" si="23"/>
        <v>14</v>
      </c>
      <c r="O75" s="7">
        <f t="shared" si="24"/>
        <v>73.092857142857142</v>
      </c>
      <c r="P75" s="10">
        <f t="shared" si="25"/>
        <v>0.37721098407114234</v>
      </c>
    </row>
    <row r="76" spans="1:16" x14ac:dyDescent="0.35">
      <c r="A76" s="13">
        <v>42644</v>
      </c>
      <c r="B76" s="7">
        <v>8980.0949999999993</v>
      </c>
      <c r="C76" s="7">
        <v>10</v>
      </c>
      <c r="D76" s="7">
        <f t="shared" si="18"/>
        <v>898.00949999999989</v>
      </c>
      <c r="E76" s="24">
        <v>0.97660436777116499</v>
      </c>
      <c r="F76" s="24">
        <f t="shared" si="19"/>
        <v>2.3395632228835006E-2</v>
      </c>
      <c r="G76" s="7">
        <v>959.80700000000002</v>
      </c>
      <c r="H76" s="7">
        <v>6</v>
      </c>
      <c r="I76" s="7">
        <f t="shared" si="21"/>
        <v>159.96783333333335</v>
      </c>
      <c r="J76" s="24">
        <v>0</v>
      </c>
      <c r="K76" s="24">
        <f t="shared" si="20"/>
        <v>1</v>
      </c>
      <c r="M76" s="7">
        <f t="shared" si="22"/>
        <v>9939.902</v>
      </c>
      <c r="N76" s="7">
        <f t="shared" si="23"/>
        <v>16</v>
      </c>
      <c r="O76" s="7">
        <f t="shared" si="24"/>
        <v>621.243875</v>
      </c>
      <c r="P76" s="10">
        <f t="shared" si="25"/>
        <v>0.38962227014302186</v>
      </c>
    </row>
    <row r="77" spans="1:16" x14ac:dyDescent="0.35">
      <c r="A77" s="13">
        <v>42675</v>
      </c>
      <c r="B77" s="7">
        <v>7095.8721999999998</v>
      </c>
      <c r="C77" s="7">
        <v>24</v>
      </c>
      <c r="D77" s="7">
        <f t="shared" si="18"/>
        <v>295.66134166666666</v>
      </c>
      <c r="E77" s="24">
        <v>0.52557276891204441</v>
      </c>
      <c r="F77" s="24">
        <f t="shared" si="19"/>
        <v>0.47442723108795559</v>
      </c>
      <c r="G77" s="7">
        <v>550</v>
      </c>
      <c r="H77" s="7">
        <v>3</v>
      </c>
      <c r="I77" s="7">
        <f t="shared" si="21"/>
        <v>183.33333333333334</v>
      </c>
      <c r="J77" s="24">
        <v>0</v>
      </c>
      <c r="K77" s="24">
        <f t="shared" si="20"/>
        <v>1</v>
      </c>
      <c r="M77" s="7">
        <f t="shared" si="22"/>
        <v>7645.8721999999998</v>
      </c>
      <c r="N77" s="7">
        <f t="shared" si="23"/>
        <v>27</v>
      </c>
      <c r="O77" s="7">
        <f t="shared" si="24"/>
        <v>283.18045185185184</v>
      </c>
      <c r="P77" s="10">
        <f t="shared" si="25"/>
        <v>0.53282420541151609</v>
      </c>
    </row>
    <row r="78" spans="1:16" x14ac:dyDescent="0.35">
      <c r="A78" s="13">
        <v>42705</v>
      </c>
      <c r="B78" s="7">
        <v>8896.6007640000007</v>
      </c>
      <c r="C78" s="7">
        <v>22</v>
      </c>
      <c r="D78" s="7">
        <f t="shared" si="18"/>
        <v>404.39094381818182</v>
      </c>
      <c r="E78" s="24">
        <v>0.47617287910032152</v>
      </c>
      <c r="F78" s="24">
        <f t="shared" si="19"/>
        <v>0.52382712089967853</v>
      </c>
      <c r="G78" s="7">
        <v>1251</v>
      </c>
      <c r="H78" s="7">
        <v>7</v>
      </c>
      <c r="I78" s="7">
        <f t="shared" si="21"/>
        <v>178.71428571428572</v>
      </c>
      <c r="J78" s="24">
        <v>0</v>
      </c>
      <c r="K78" s="24">
        <f t="shared" si="20"/>
        <v>1</v>
      </c>
      <c r="M78" s="7">
        <f t="shared" si="22"/>
        <v>10147.600764000001</v>
      </c>
      <c r="N78" s="7">
        <f t="shared" si="23"/>
        <v>29</v>
      </c>
      <c r="O78" s="7">
        <f t="shared" si="24"/>
        <v>349.91726772413796</v>
      </c>
      <c r="P78" s="10">
        <f t="shared" si="25"/>
        <v>0.63876540206182508</v>
      </c>
    </row>
    <row r="79" spans="1:16" s="19" customFormat="1" ht="15" thickBot="1" x14ac:dyDescent="0.4">
      <c r="A79" s="19">
        <v>2016</v>
      </c>
      <c r="B79" s="17">
        <f>SUM(B67:B78)</f>
        <v>75955.117239000014</v>
      </c>
      <c r="C79" s="17">
        <f>SUM(C67:C78)</f>
        <v>222</v>
      </c>
      <c r="D79" s="17">
        <f t="shared" ref="D79" si="26">B79/C79</f>
        <v>342.1401677432433</v>
      </c>
      <c r="G79" s="17">
        <f>SUM(G67:G78)</f>
        <v>4514.0770000000002</v>
      </c>
      <c r="H79" s="17">
        <f>SUM(H67:H78)</f>
        <v>27</v>
      </c>
      <c r="I79" s="17">
        <f t="shared" ref="I79" si="27">G79/H79</f>
        <v>167.18803703703705</v>
      </c>
      <c r="M79" s="17">
        <f>SUM(M67:M78)</f>
        <v>80469.194239000004</v>
      </c>
      <c r="N79" s="17">
        <f>SUM(N67:N78)</f>
        <v>249</v>
      </c>
      <c r="O79" s="17">
        <f t="shared" ref="O79" si="28">M79/N79</f>
        <v>323.16945477510041</v>
      </c>
    </row>
    <row r="80" spans="1:16" x14ac:dyDescent="0.35">
      <c r="A80" s="13">
        <v>42736</v>
      </c>
      <c r="B80" s="7">
        <v>3738</v>
      </c>
      <c r="C80" s="7">
        <v>14</v>
      </c>
      <c r="D80" s="7">
        <f t="shared" si="18"/>
        <v>267</v>
      </c>
      <c r="E80" s="24">
        <v>0.40342429106474048</v>
      </c>
      <c r="F80" s="24">
        <f t="shared" si="19"/>
        <v>0.59657570893525946</v>
      </c>
      <c r="G80" s="7">
        <v>401.25</v>
      </c>
      <c r="H80" s="7">
        <v>5</v>
      </c>
      <c r="I80" s="7">
        <f t="shared" si="21"/>
        <v>80.25</v>
      </c>
      <c r="J80" s="24">
        <v>0</v>
      </c>
      <c r="K80" s="24">
        <f t="shared" si="20"/>
        <v>1</v>
      </c>
      <c r="M80" s="7">
        <f t="shared" si="22"/>
        <v>4139.25</v>
      </c>
      <c r="N80" s="7">
        <f t="shared" si="23"/>
        <v>19</v>
      </c>
      <c r="O80" s="7">
        <f t="shared" si="24"/>
        <v>217.85526315789474</v>
      </c>
      <c r="P80" s="10">
        <f t="shared" si="25"/>
        <v>0.70273999605755966</v>
      </c>
    </row>
    <row r="81" spans="1:16" x14ac:dyDescent="0.35">
      <c r="A81" s="13">
        <v>42767</v>
      </c>
      <c r="B81" s="7">
        <v>4137.5919999999996</v>
      </c>
      <c r="C81" s="7">
        <v>24</v>
      </c>
      <c r="D81" s="7">
        <f t="shared" si="18"/>
        <v>172.39966666666666</v>
      </c>
      <c r="E81" s="24">
        <v>0.25118970221795778</v>
      </c>
      <c r="F81" s="24">
        <f t="shared" si="19"/>
        <v>0.74881029778204222</v>
      </c>
      <c r="G81" s="7">
        <v>490</v>
      </c>
      <c r="H81" s="7">
        <v>3</v>
      </c>
      <c r="I81" s="7">
        <f t="shared" si="21"/>
        <v>163.33333333333334</v>
      </c>
      <c r="J81" s="24">
        <v>0</v>
      </c>
      <c r="K81" s="24">
        <f t="shared" si="20"/>
        <v>1</v>
      </c>
      <c r="M81" s="7">
        <f t="shared" si="22"/>
        <v>4627.5919999999996</v>
      </c>
      <c r="N81" s="7">
        <f t="shared" si="23"/>
        <v>27</v>
      </c>
      <c r="O81" s="7">
        <f t="shared" si="24"/>
        <v>171.39229629629628</v>
      </c>
      <c r="P81" s="10">
        <f t="shared" si="25"/>
        <v>0.77672026469514865</v>
      </c>
    </row>
    <row r="82" spans="1:16" x14ac:dyDescent="0.35">
      <c r="A82" s="13">
        <v>42795</v>
      </c>
      <c r="B82" s="7">
        <v>2392</v>
      </c>
      <c r="C82" s="7">
        <v>13</v>
      </c>
      <c r="D82" s="7">
        <f t="shared" si="18"/>
        <v>184</v>
      </c>
      <c r="E82" s="24">
        <v>0.69397993311036787</v>
      </c>
      <c r="F82" s="24">
        <f t="shared" si="19"/>
        <v>0.30602006688963213</v>
      </c>
      <c r="G82" s="7">
        <v>324.43099999999998</v>
      </c>
      <c r="H82" s="7">
        <v>2</v>
      </c>
      <c r="I82" s="7">
        <f t="shared" si="21"/>
        <v>162.21549999999999</v>
      </c>
      <c r="J82" s="24">
        <v>0</v>
      </c>
      <c r="K82" s="24">
        <f t="shared" si="20"/>
        <v>1</v>
      </c>
      <c r="M82" s="7">
        <f t="shared" si="22"/>
        <v>2716.431</v>
      </c>
      <c r="N82" s="7">
        <f t="shared" si="23"/>
        <v>15</v>
      </c>
      <c r="O82" s="7">
        <f t="shared" si="24"/>
        <v>181.09540000000001</v>
      </c>
      <c r="P82" s="10">
        <f t="shared" si="25"/>
        <v>0.39855072463768121</v>
      </c>
    </row>
    <row r="83" spans="1:16" x14ac:dyDescent="0.35">
      <c r="A83" s="13">
        <v>42826</v>
      </c>
      <c r="B83" s="7">
        <v>5447</v>
      </c>
      <c r="C83" s="7">
        <v>23</v>
      </c>
      <c r="D83" s="7">
        <f t="shared" si="18"/>
        <v>236.82608695652175</v>
      </c>
      <c r="E83" s="24">
        <v>0.36331925830732514</v>
      </c>
      <c r="F83" s="24">
        <f t="shared" si="19"/>
        <v>0.63668074169267486</v>
      </c>
      <c r="G83" s="7">
        <v>282.5</v>
      </c>
      <c r="H83" s="7">
        <v>2</v>
      </c>
      <c r="I83" s="7">
        <f t="shared" si="21"/>
        <v>141.25</v>
      </c>
      <c r="J83" s="24">
        <v>0</v>
      </c>
      <c r="K83" s="24">
        <f t="shared" si="20"/>
        <v>1</v>
      </c>
      <c r="M83" s="7">
        <f t="shared" si="22"/>
        <v>5729.5</v>
      </c>
      <c r="N83" s="7">
        <f t="shared" si="23"/>
        <v>25</v>
      </c>
      <c r="O83" s="7">
        <f t="shared" si="24"/>
        <v>229.18</v>
      </c>
      <c r="P83" s="10">
        <f t="shared" si="25"/>
        <v>0.66574628235726097</v>
      </c>
    </row>
    <row r="84" spans="1:16" x14ac:dyDescent="0.35">
      <c r="A84" s="13">
        <v>42856</v>
      </c>
      <c r="B84" s="7">
        <v>4526.1629363150323</v>
      </c>
      <c r="C84" s="7">
        <v>12</v>
      </c>
      <c r="D84" s="7">
        <f t="shared" si="18"/>
        <v>377.18024469291936</v>
      </c>
      <c r="E84" s="24">
        <v>0.27906667478833114</v>
      </c>
      <c r="F84" s="24">
        <f t="shared" si="19"/>
        <v>0.72093332521166886</v>
      </c>
      <c r="G84" s="7">
        <v>45</v>
      </c>
      <c r="H84" s="7">
        <v>1</v>
      </c>
      <c r="I84" s="7">
        <f t="shared" si="21"/>
        <v>45</v>
      </c>
      <c r="J84" s="24">
        <v>0</v>
      </c>
      <c r="K84" s="24">
        <f t="shared" si="20"/>
        <v>1</v>
      </c>
      <c r="M84" s="7">
        <f t="shared" si="22"/>
        <v>4571.1629363150323</v>
      </c>
      <c r="N84" s="7">
        <f t="shared" si="23"/>
        <v>13</v>
      </c>
      <c r="O84" s="7">
        <f t="shared" si="24"/>
        <v>351.62791817807943</v>
      </c>
      <c r="P84" s="10">
        <f t="shared" si="25"/>
        <v>0.74239999250307898</v>
      </c>
    </row>
    <row r="85" spans="1:16" x14ac:dyDescent="0.35">
      <c r="A85" s="13">
        <v>42887</v>
      </c>
      <c r="B85" s="7">
        <v>7652.5640000000003</v>
      </c>
      <c r="C85" s="7">
        <v>33</v>
      </c>
      <c r="D85" s="7">
        <f t="shared" si="18"/>
        <v>231.89587878787879</v>
      </c>
      <c r="E85" s="24">
        <v>0.46977718840378208</v>
      </c>
      <c r="F85" s="24">
        <f t="shared" si="19"/>
        <v>0.53022281159621798</v>
      </c>
      <c r="G85" s="7">
        <v>522.94600000000003</v>
      </c>
      <c r="H85" s="7">
        <v>4</v>
      </c>
      <c r="I85" s="7">
        <f t="shared" si="21"/>
        <v>130.73650000000001</v>
      </c>
      <c r="J85" s="24">
        <v>0</v>
      </c>
      <c r="K85" s="24">
        <f t="shared" si="20"/>
        <v>1</v>
      </c>
      <c r="M85" s="7">
        <f t="shared" si="22"/>
        <v>8175.51</v>
      </c>
      <c r="N85" s="7">
        <f t="shared" si="23"/>
        <v>37</v>
      </c>
      <c r="O85" s="7">
        <f t="shared" si="24"/>
        <v>220.95972972972973</v>
      </c>
      <c r="P85" s="10">
        <f t="shared" si="25"/>
        <v>0.58100953466689709</v>
      </c>
    </row>
    <row r="86" spans="1:16" x14ac:dyDescent="0.35">
      <c r="A86" s="13">
        <v>42917</v>
      </c>
      <c r="B86" s="7">
        <v>4118</v>
      </c>
      <c r="C86" s="7">
        <v>15</v>
      </c>
      <c r="D86" s="7">
        <f t="shared" si="18"/>
        <v>274.53333333333336</v>
      </c>
      <c r="E86" s="24">
        <v>0.44851869839728026</v>
      </c>
      <c r="F86" s="24">
        <f t="shared" si="19"/>
        <v>0.5514813016027198</v>
      </c>
      <c r="G86" s="7">
        <v>1341.5139999999999</v>
      </c>
      <c r="H86" s="7">
        <v>4</v>
      </c>
      <c r="I86" s="7">
        <f t="shared" si="21"/>
        <v>335.37849999999997</v>
      </c>
      <c r="J86" s="24">
        <v>0</v>
      </c>
      <c r="K86" s="24">
        <f t="shared" si="20"/>
        <v>1</v>
      </c>
      <c r="M86" s="7">
        <f t="shared" si="22"/>
        <v>5459.5140000000001</v>
      </c>
      <c r="N86" s="7">
        <f t="shared" si="23"/>
        <v>19</v>
      </c>
      <c r="O86" s="7">
        <f t="shared" si="24"/>
        <v>287.34284210526317</v>
      </c>
      <c r="P86" s="10">
        <f t="shared" si="25"/>
        <v>0.64590629073898931</v>
      </c>
    </row>
    <row r="87" spans="1:16" x14ac:dyDescent="0.35">
      <c r="A87" s="13">
        <v>42948</v>
      </c>
      <c r="B87" s="7">
        <v>8572.527</v>
      </c>
      <c r="C87" s="7">
        <v>19</v>
      </c>
      <c r="D87" s="7">
        <f t="shared" si="18"/>
        <v>451.18563157894738</v>
      </c>
      <c r="E87" s="24">
        <v>0.26689913020979694</v>
      </c>
      <c r="F87" s="24">
        <f t="shared" si="19"/>
        <v>0.73310086979020306</v>
      </c>
      <c r="G87" s="7">
        <v>1422.057</v>
      </c>
      <c r="H87" s="7">
        <v>3</v>
      </c>
      <c r="I87" s="7">
        <f t="shared" si="21"/>
        <v>474.01900000000001</v>
      </c>
      <c r="J87" s="24">
        <v>0</v>
      </c>
      <c r="K87" s="24">
        <f t="shared" si="20"/>
        <v>1</v>
      </c>
      <c r="M87" s="7">
        <f t="shared" si="22"/>
        <v>9994.5840000000007</v>
      </c>
      <c r="N87" s="7">
        <f t="shared" si="23"/>
        <v>22</v>
      </c>
      <c r="O87" s="7">
        <f t="shared" si="24"/>
        <v>454.29927272727275</v>
      </c>
      <c r="P87" s="10">
        <f t="shared" si="25"/>
        <v>0.76949620572790256</v>
      </c>
    </row>
    <row r="88" spans="1:16" x14ac:dyDescent="0.35">
      <c r="A88" s="13">
        <v>42979</v>
      </c>
      <c r="B88" s="7">
        <v>8871.9434180000007</v>
      </c>
      <c r="C88" s="7">
        <v>43</v>
      </c>
      <c r="D88" s="7">
        <f t="shared" si="18"/>
        <v>206.32426553488375</v>
      </c>
      <c r="E88" s="24">
        <v>0.60566053431969713</v>
      </c>
      <c r="F88" s="24">
        <f t="shared" si="19"/>
        <v>0.39433946568030287</v>
      </c>
      <c r="G88" s="7">
        <v>1001.21</v>
      </c>
      <c r="H88" s="7">
        <v>5</v>
      </c>
      <c r="I88" s="7">
        <f t="shared" si="21"/>
        <v>200.24200000000002</v>
      </c>
      <c r="J88" s="24">
        <v>0</v>
      </c>
      <c r="K88" s="24">
        <f t="shared" si="20"/>
        <v>1</v>
      </c>
      <c r="M88" s="7">
        <f t="shared" si="22"/>
        <v>9873.1534180000017</v>
      </c>
      <c r="N88" s="7">
        <f t="shared" si="23"/>
        <v>48</v>
      </c>
      <c r="O88" s="7">
        <f t="shared" si="24"/>
        <v>205.69069620833338</v>
      </c>
      <c r="P88" s="10">
        <f t="shared" si="25"/>
        <v>0.45742910467193804</v>
      </c>
    </row>
    <row r="89" spans="1:16" x14ac:dyDescent="0.35">
      <c r="A89" s="13">
        <v>43009</v>
      </c>
      <c r="B89" s="7">
        <v>11203.574000000001</v>
      </c>
      <c r="C89" s="7">
        <v>26</v>
      </c>
      <c r="D89" s="7">
        <f t="shared" si="18"/>
        <v>430.90669230769231</v>
      </c>
      <c r="E89" s="24">
        <v>0.25639139795925836</v>
      </c>
      <c r="F89" s="24">
        <f t="shared" si="19"/>
        <v>0.74360860204074164</v>
      </c>
      <c r="G89" s="7">
        <v>2034.972</v>
      </c>
      <c r="H89" s="7">
        <v>11</v>
      </c>
      <c r="I89" s="7">
        <f t="shared" si="21"/>
        <v>184.99745454545453</v>
      </c>
      <c r="J89" s="24">
        <v>0</v>
      </c>
      <c r="K89" s="24">
        <f t="shared" si="20"/>
        <v>1</v>
      </c>
      <c r="M89" s="7">
        <f t="shared" si="22"/>
        <v>13238.546</v>
      </c>
      <c r="N89" s="7">
        <f t="shared" si="23"/>
        <v>37</v>
      </c>
      <c r="O89" s="7">
        <f t="shared" si="24"/>
        <v>357.79854054054056</v>
      </c>
      <c r="P89" s="10">
        <f t="shared" si="25"/>
        <v>0.81983307170430497</v>
      </c>
    </row>
    <row r="90" spans="1:16" x14ac:dyDescent="0.35">
      <c r="A90" s="13">
        <v>43040</v>
      </c>
      <c r="B90" s="7">
        <v>10190.5</v>
      </c>
      <c r="C90" s="7">
        <v>30</v>
      </c>
      <c r="D90" s="7">
        <f t="shared" si="18"/>
        <v>339.68333333333334</v>
      </c>
      <c r="E90" s="24">
        <v>0.36049065305922184</v>
      </c>
      <c r="F90" s="24">
        <f t="shared" si="19"/>
        <v>0.63950934694077821</v>
      </c>
      <c r="G90" s="7">
        <v>845.5</v>
      </c>
      <c r="H90" s="7">
        <v>4</v>
      </c>
      <c r="I90" s="7">
        <f t="shared" si="21"/>
        <v>211.375</v>
      </c>
      <c r="J90" s="24">
        <v>0</v>
      </c>
      <c r="K90" s="24">
        <f t="shared" si="20"/>
        <v>1</v>
      </c>
      <c r="M90" s="7">
        <f t="shared" si="22"/>
        <v>11036</v>
      </c>
      <c r="N90" s="7">
        <f t="shared" si="23"/>
        <v>34</v>
      </c>
      <c r="O90" s="7">
        <f t="shared" si="24"/>
        <v>324.58823529411762</v>
      </c>
      <c r="P90" s="10">
        <f t="shared" si="25"/>
        <v>0.68192001200656893</v>
      </c>
    </row>
    <row r="91" spans="1:16" x14ac:dyDescent="0.35">
      <c r="A91" s="13">
        <v>43070</v>
      </c>
      <c r="B91" s="7">
        <v>16776.346000000001</v>
      </c>
      <c r="C91" s="7">
        <v>61</v>
      </c>
      <c r="D91" s="7">
        <f t="shared" si="18"/>
        <v>275.02206557377053</v>
      </c>
      <c r="E91" s="24">
        <v>0.68888791397125448</v>
      </c>
      <c r="F91" s="24">
        <f t="shared" si="19"/>
        <v>0.31111208602874552</v>
      </c>
      <c r="G91" s="7">
        <v>362</v>
      </c>
      <c r="H91" s="7">
        <v>5</v>
      </c>
      <c r="I91" s="7">
        <f t="shared" si="21"/>
        <v>72.400000000000006</v>
      </c>
      <c r="J91" s="24">
        <v>0</v>
      </c>
      <c r="K91" s="24">
        <f t="shared" si="20"/>
        <v>1</v>
      </c>
      <c r="M91" s="7">
        <f t="shared" si="22"/>
        <v>17138.346000000001</v>
      </c>
      <c r="N91" s="7">
        <f t="shared" si="23"/>
        <v>66</v>
      </c>
      <c r="O91" s="7">
        <f t="shared" si="24"/>
        <v>259.67190909090914</v>
      </c>
      <c r="P91" s="10">
        <f t="shared" si="25"/>
        <v>0.36330056435990116</v>
      </c>
    </row>
    <row r="92" spans="1:16" s="19" customFormat="1" ht="15" thickBot="1" x14ac:dyDescent="0.4">
      <c r="A92" s="19">
        <v>2017</v>
      </c>
      <c r="B92" s="17">
        <f>SUM(B80:B91)</f>
        <v>87626.20935431504</v>
      </c>
      <c r="C92" s="17">
        <f>SUM(C80:C91)</f>
        <v>313</v>
      </c>
      <c r="D92" s="17">
        <f t="shared" si="18"/>
        <v>279.95594042912154</v>
      </c>
      <c r="G92" s="17">
        <f>SUM(G80:G91)</f>
        <v>9073.3799999999992</v>
      </c>
      <c r="H92" s="17">
        <f>SUM(H80:H91)</f>
        <v>49</v>
      </c>
      <c r="I92" s="17">
        <f t="shared" ref="I92" si="29">G92/H92</f>
        <v>185.17102040816326</v>
      </c>
      <c r="M92" s="17">
        <f>SUM(M80:M91)</f>
        <v>96699.589354315045</v>
      </c>
      <c r="N92" s="17">
        <f>SUM(N80:N91)</f>
        <v>362</v>
      </c>
      <c r="O92" s="17">
        <f t="shared" ref="O92" si="30">M92/N92</f>
        <v>267.12593744285925</v>
      </c>
    </row>
    <row r="93" spans="1:16" x14ac:dyDescent="0.35">
      <c r="A93" s="13">
        <v>43101</v>
      </c>
      <c r="B93" s="7">
        <v>5360</v>
      </c>
      <c r="C93" s="7">
        <v>15</v>
      </c>
      <c r="D93" s="7">
        <f t="shared" si="18"/>
        <v>357.33333333333331</v>
      </c>
      <c r="E93" s="24">
        <v>0.86940298507462688</v>
      </c>
      <c r="F93" s="24">
        <f t="shared" si="19"/>
        <v>0.13059701492537312</v>
      </c>
      <c r="G93" s="7">
        <v>1896.1</v>
      </c>
      <c r="H93" s="7">
        <v>3</v>
      </c>
      <c r="I93" s="7">
        <f t="shared" si="21"/>
        <v>632.0333333333333</v>
      </c>
      <c r="J93" s="24">
        <v>0</v>
      </c>
      <c r="K93" s="24">
        <f t="shared" si="20"/>
        <v>1</v>
      </c>
      <c r="M93" s="7">
        <f t="shared" si="22"/>
        <v>7256.1</v>
      </c>
      <c r="N93" s="7">
        <f t="shared" si="23"/>
        <v>18</v>
      </c>
      <c r="O93" s="7">
        <f t="shared" si="24"/>
        <v>403.11666666666667</v>
      </c>
      <c r="P93" s="10">
        <f t="shared" si="25"/>
        <v>0.27549751243781095</v>
      </c>
    </row>
    <row r="94" spans="1:16" x14ac:dyDescent="0.35">
      <c r="A94" s="13">
        <v>43132</v>
      </c>
      <c r="B94" s="7">
        <v>15122.946</v>
      </c>
      <c r="C94" s="7">
        <v>23</v>
      </c>
      <c r="D94" s="7">
        <f t="shared" si="18"/>
        <v>657.51939130434778</v>
      </c>
      <c r="E94" s="24">
        <v>0.2323356838012911</v>
      </c>
      <c r="F94" s="24">
        <f t="shared" si="19"/>
        <v>0.7676643161987089</v>
      </c>
      <c r="G94" s="7">
        <v>1000</v>
      </c>
      <c r="H94" s="7">
        <v>1</v>
      </c>
      <c r="I94" s="7">
        <f t="shared" si="21"/>
        <v>1000</v>
      </c>
      <c r="J94" s="24">
        <v>0</v>
      </c>
      <c r="K94" s="24">
        <f t="shared" si="20"/>
        <v>1</v>
      </c>
      <c r="M94" s="7">
        <f t="shared" si="22"/>
        <v>16122.946</v>
      </c>
      <c r="N94" s="7">
        <f t="shared" si="23"/>
        <v>24</v>
      </c>
      <c r="O94" s="7">
        <f t="shared" si="24"/>
        <v>671.78941666666663</v>
      </c>
      <c r="P94" s="10">
        <f t="shared" si="25"/>
        <v>0.77734496969042943</v>
      </c>
    </row>
    <row r="95" spans="1:16" x14ac:dyDescent="0.35">
      <c r="A95" s="13">
        <v>43160</v>
      </c>
      <c r="B95" s="7">
        <v>12538.025</v>
      </c>
      <c r="C95" s="7">
        <v>30</v>
      </c>
      <c r="D95" s="7">
        <f t="shared" si="18"/>
        <v>417.93416666666667</v>
      </c>
      <c r="E95" s="24">
        <v>0.41748999543389009</v>
      </c>
      <c r="F95" s="24">
        <f t="shared" si="19"/>
        <v>0.58251000456610991</v>
      </c>
      <c r="G95" s="7">
        <v>681.47500000000002</v>
      </c>
      <c r="H95" s="7">
        <v>3</v>
      </c>
      <c r="I95" s="7">
        <f t="shared" si="21"/>
        <v>227.15833333333333</v>
      </c>
      <c r="J95" s="24">
        <v>0</v>
      </c>
      <c r="K95" s="24">
        <f t="shared" si="20"/>
        <v>1</v>
      </c>
      <c r="M95" s="7">
        <f t="shared" si="22"/>
        <v>13219.5</v>
      </c>
      <c r="N95" s="7">
        <f t="shared" si="23"/>
        <v>33</v>
      </c>
      <c r="O95" s="7">
        <f t="shared" si="24"/>
        <v>400.59090909090907</v>
      </c>
      <c r="P95" s="10">
        <f t="shared" si="25"/>
        <v>0.62046364051464531</v>
      </c>
    </row>
    <row r="96" spans="1:16" x14ac:dyDescent="0.35">
      <c r="A96" s="13">
        <v>43191</v>
      </c>
      <c r="B96" s="7">
        <v>13273</v>
      </c>
      <c r="C96" s="7">
        <v>39</v>
      </c>
      <c r="D96" s="7">
        <f t="shared" si="18"/>
        <v>340.33333333333331</v>
      </c>
      <c r="E96" s="24">
        <v>0.25755443381300386</v>
      </c>
      <c r="F96" s="24">
        <f t="shared" si="19"/>
        <v>0.7424455661869962</v>
      </c>
      <c r="G96" s="7">
        <v>4804</v>
      </c>
      <c r="H96" s="7">
        <v>4</v>
      </c>
      <c r="I96" s="7">
        <f t="shared" si="21"/>
        <v>1201</v>
      </c>
      <c r="J96" s="24">
        <v>0</v>
      </c>
      <c r="K96" s="24">
        <f t="shared" si="20"/>
        <v>1</v>
      </c>
      <c r="M96" s="7">
        <f t="shared" si="22"/>
        <v>18077</v>
      </c>
      <c r="N96" s="7">
        <f t="shared" si="23"/>
        <v>43</v>
      </c>
      <c r="O96" s="7">
        <f t="shared" si="24"/>
        <v>420.39534883720933</v>
      </c>
      <c r="P96" s="10">
        <f t="shared" si="25"/>
        <v>0.76640411816960119</v>
      </c>
    </row>
    <row r="97" spans="1:16" x14ac:dyDescent="0.35">
      <c r="A97" s="13">
        <v>43221</v>
      </c>
      <c r="B97" s="7">
        <v>11330.088825426999</v>
      </c>
      <c r="C97" s="7">
        <v>35</v>
      </c>
      <c r="D97" s="7">
        <f t="shared" si="18"/>
        <v>323.71682358362858</v>
      </c>
      <c r="E97" s="24">
        <v>0.60343452779031581</v>
      </c>
      <c r="F97" s="24">
        <f t="shared" si="19"/>
        <v>0.39656547220968419</v>
      </c>
      <c r="G97" s="7">
        <v>1212.2315390000001</v>
      </c>
      <c r="H97" s="7">
        <v>7</v>
      </c>
      <c r="I97" s="7">
        <f t="shared" si="21"/>
        <v>173.17593414285716</v>
      </c>
      <c r="J97" s="24">
        <v>0</v>
      </c>
      <c r="K97" s="24">
        <f t="shared" si="20"/>
        <v>1</v>
      </c>
      <c r="M97" s="7">
        <f t="shared" si="22"/>
        <v>12542.320364427</v>
      </c>
      <c r="N97" s="7">
        <f t="shared" si="23"/>
        <v>42</v>
      </c>
      <c r="O97" s="7">
        <f t="shared" si="24"/>
        <v>298.62667534349998</v>
      </c>
      <c r="P97" s="10">
        <f t="shared" si="25"/>
        <v>0.49713789350807014</v>
      </c>
    </row>
    <row r="98" spans="1:16" x14ac:dyDescent="0.35">
      <c r="A98" s="13">
        <v>43252</v>
      </c>
      <c r="B98" s="7">
        <v>12196.1</v>
      </c>
      <c r="C98" s="7">
        <v>39</v>
      </c>
      <c r="D98" s="7">
        <f t="shared" si="18"/>
        <v>312.72051282051285</v>
      </c>
      <c r="E98" s="24">
        <v>0.24788661949311666</v>
      </c>
      <c r="F98" s="24">
        <f t="shared" si="19"/>
        <v>0.75211338050688337</v>
      </c>
      <c r="G98" s="7">
        <v>1925</v>
      </c>
      <c r="H98" s="7">
        <v>5</v>
      </c>
      <c r="I98" s="7">
        <f t="shared" si="21"/>
        <v>385</v>
      </c>
      <c r="J98" s="24">
        <v>0</v>
      </c>
      <c r="K98" s="24">
        <f t="shared" si="20"/>
        <v>1</v>
      </c>
      <c r="M98" s="7">
        <f t="shared" si="22"/>
        <v>14121.1</v>
      </c>
      <c r="N98" s="7">
        <f t="shared" si="23"/>
        <v>44</v>
      </c>
      <c r="O98" s="7">
        <f t="shared" si="24"/>
        <v>320.93409090909091</v>
      </c>
      <c r="P98" s="10">
        <f t="shared" si="25"/>
        <v>0.78028231454019203</v>
      </c>
    </row>
    <row r="99" spans="1:16" x14ac:dyDescent="0.35">
      <c r="A99" s="13">
        <v>43282</v>
      </c>
      <c r="B99" s="7">
        <v>10747.2</v>
      </c>
      <c r="C99" s="7">
        <v>31</v>
      </c>
      <c r="D99" s="7">
        <f t="shared" si="18"/>
        <v>346.68387096774194</v>
      </c>
      <c r="E99" s="24">
        <v>0.49990695250856038</v>
      </c>
      <c r="F99" s="24">
        <f t="shared" si="19"/>
        <v>0.50009304749143957</v>
      </c>
      <c r="G99" s="7">
        <v>2784.8820000000001</v>
      </c>
      <c r="H99" s="7">
        <v>21</v>
      </c>
      <c r="I99" s="7">
        <f t="shared" si="21"/>
        <v>132.61342857142859</v>
      </c>
      <c r="J99" s="24">
        <v>0</v>
      </c>
      <c r="K99" s="24">
        <f t="shared" si="20"/>
        <v>1</v>
      </c>
      <c r="M99" s="7">
        <f t="shared" si="22"/>
        <v>13532.082</v>
      </c>
      <c r="N99" s="7">
        <f t="shared" si="23"/>
        <v>52</v>
      </c>
      <c r="O99" s="7">
        <f t="shared" si="24"/>
        <v>260.23234615384615</v>
      </c>
      <c r="P99" s="10">
        <f t="shared" si="25"/>
        <v>0.70197854754297362</v>
      </c>
    </row>
    <row r="100" spans="1:16" x14ac:dyDescent="0.35">
      <c r="A100" s="13">
        <v>43313</v>
      </c>
      <c r="B100" s="7">
        <v>10976.040924000001</v>
      </c>
      <c r="C100" s="7">
        <v>26</v>
      </c>
      <c r="D100" s="7">
        <f t="shared" si="18"/>
        <v>422.15542015384619</v>
      </c>
      <c r="E100" s="24">
        <v>0.35865937702474987</v>
      </c>
      <c r="F100" s="24">
        <f t="shared" si="19"/>
        <v>0.64134062297525007</v>
      </c>
      <c r="G100" s="7">
        <v>1937.78</v>
      </c>
      <c r="H100" s="7">
        <v>6</v>
      </c>
      <c r="I100" s="7">
        <f t="shared" si="21"/>
        <v>322.96333333333331</v>
      </c>
      <c r="J100" s="24">
        <v>0</v>
      </c>
      <c r="K100" s="24">
        <f t="shared" si="20"/>
        <v>1</v>
      </c>
      <c r="M100" s="7">
        <f t="shared" si="22"/>
        <v>12913.820924000001</v>
      </c>
      <c r="N100" s="7">
        <f t="shared" si="23"/>
        <v>32</v>
      </c>
      <c r="O100" s="7">
        <f t="shared" si="24"/>
        <v>403.55690387500005</v>
      </c>
      <c r="P100" s="10">
        <f t="shared" si="25"/>
        <v>0.70858925616739066</v>
      </c>
    </row>
    <row r="101" spans="1:16" x14ac:dyDescent="0.35">
      <c r="A101" s="13">
        <v>43344</v>
      </c>
      <c r="B101" s="7">
        <v>14801.206</v>
      </c>
      <c r="C101" s="7">
        <v>47</v>
      </c>
      <c r="D101" s="7">
        <f t="shared" si="18"/>
        <v>314.91927659574469</v>
      </c>
      <c r="E101" s="24">
        <v>0.4019302210914435</v>
      </c>
      <c r="F101" s="24">
        <f t="shared" si="19"/>
        <v>0.5980697789085565</v>
      </c>
      <c r="G101" s="7">
        <v>4021.6</v>
      </c>
      <c r="H101" s="7">
        <v>16</v>
      </c>
      <c r="I101" s="7">
        <f t="shared" si="21"/>
        <v>251.35</v>
      </c>
      <c r="J101" s="24">
        <v>0</v>
      </c>
      <c r="K101" s="24">
        <f t="shared" si="20"/>
        <v>1</v>
      </c>
      <c r="M101" s="7">
        <f t="shared" si="22"/>
        <v>18822.806</v>
      </c>
      <c r="N101" s="7">
        <f t="shared" si="23"/>
        <v>63</v>
      </c>
      <c r="O101" s="7">
        <f t="shared" si="24"/>
        <v>298.7746984126984</v>
      </c>
      <c r="P101" s="10">
        <f t="shared" si="25"/>
        <v>0.70014729537622467</v>
      </c>
    </row>
    <row r="102" spans="1:16" x14ac:dyDescent="0.35">
      <c r="A102" s="13">
        <v>43374</v>
      </c>
      <c r="B102" s="7">
        <v>4874.5600000000004</v>
      </c>
      <c r="C102" s="7">
        <v>29</v>
      </c>
      <c r="D102" s="7">
        <f t="shared" si="18"/>
        <v>168.08827586206897</v>
      </c>
      <c r="E102" s="24">
        <v>0.16999688176984179</v>
      </c>
      <c r="F102" s="24">
        <f t="shared" si="19"/>
        <v>0.83000311823015815</v>
      </c>
      <c r="G102" s="7">
        <v>1840</v>
      </c>
      <c r="H102" s="7">
        <v>3</v>
      </c>
      <c r="I102" s="7">
        <f t="shared" si="21"/>
        <v>613.33333333333337</v>
      </c>
      <c r="J102" s="24">
        <v>0</v>
      </c>
      <c r="K102" s="24">
        <f t="shared" si="20"/>
        <v>1</v>
      </c>
      <c r="M102" s="7">
        <f t="shared" si="22"/>
        <v>6714.56</v>
      </c>
      <c r="N102" s="7">
        <f t="shared" si="23"/>
        <v>32</v>
      </c>
      <c r="O102" s="7">
        <f t="shared" si="24"/>
        <v>209.83</v>
      </c>
      <c r="P102" s="10">
        <f t="shared" si="25"/>
        <v>0.84594032589608081</v>
      </c>
    </row>
    <row r="103" spans="1:16" x14ac:dyDescent="0.35">
      <c r="A103" s="13">
        <v>43405</v>
      </c>
      <c r="B103" s="7">
        <v>6917.9</v>
      </c>
      <c r="C103" s="7">
        <v>34</v>
      </c>
      <c r="D103" s="7">
        <f t="shared" si="18"/>
        <v>203.46764705882353</v>
      </c>
      <c r="E103" s="24">
        <v>0.38378698738056349</v>
      </c>
      <c r="F103" s="24">
        <f t="shared" si="19"/>
        <v>0.61621301261943651</v>
      </c>
      <c r="G103" s="7">
        <v>350</v>
      </c>
      <c r="H103" s="7">
        <v>2</v>
      </c>
      <c r="I103" s="7">
        <f t="shared" si="21"/>
        <v>175</v>
      </c>
      <c r="J103" s="24">
        <v>0</v>
      </c>
      <c r="K103" s="24">
        <f t="shared" si="20"/>
        <v>1</v>
      </c>
      <c r="M103" s="7">
        <f t="shared" si="22"/>
        <v>7267.9</v>
      </c>
      <c r="N103" s="7">
        <f t="shared" si="23"/>
        <v>36</v>
      </c>
      <c r="O103" s="7">
        <f t="shared" si="24"/>
        <v>201.88611111111109</v>
      </c>
      <c r="P103" s="10">
        <f t="shared" si="25"/>
        <v>0.63753451191835664</v>
      </c>
    </row>
    <row r="104" spans="1:16" x14ac:dyDescent="0.35">
      <c r="A104" s="13">
        <v>43435</v>
      </c>
      <c r="B104" s="7">
        <v>11868.4</v>
      </c>
      <c r="C104" s="7">
        <v>43</v>
      </c>
      <c r="D104" s="7">
        <f t="shared" si="18"/>
        <v>276.00930232558136</v>
      </c>
      <c r="E104" s="24">
        <v>0.18831518991607968</v>
      </c>
      <c r="F104" s="24">
        <f t="shared" si="19"/>
        <v>0.81168481008392035</v>
      </c>
      <c r="G104" s="7">
        <v>1342.5</v>
      </c>
      <c r="H104" s="7">
        <v>6</v>
      </c>
      <c r="I104" s="7">
        <f t="shared" si="21"/>
        <v>223.75</v>
      </c>
      <c r="J104" s="24">
        <v>0</v>
      </c>
      <c r="K104" s="24">
        <f t="shared" si="20"/>
        <v>1</v>
      </c>
      <c r="M104" s="7">
        <f t="shared" si="22"/>
        <v>13210.9</v>
      </c>
      <c r="N104" s="7">
        <f t="shared" si="23"/>
        <v>49</v>
      </c>
      <c r="O104" s="7">
        <f t="shared" si="24"/>
        <v>269.61020408163267</v>
      </c>
      <c r="P104" s="10">
        <f t="shared" si="25"/>
        <v>0.83474381293078714</v>
      </c>
    </row>
    <row r="105" spans="1:16" s="19" customFormat="1" ht="15" thickBot="1" x14ac:dyDescent="0.4">
      <c r="A105" s="19">
        <v>2018</v>
      </c>
      <c r="B105" s="17">
        <f>SUM(B93:B104)</f>
        <v>130005.466749427</v>
      </c>
      <c r="C105" s="17">
        <f>SUM(C93:C104)</f>
        <v>391</v>
      </c>
      <c r="D105" s="17">
        <f t="shared" si="18"/>
        <v>332.49479987065729</v>
      </c>
      <c r="G105" s="17">
        <f>SUM(G93:G104)</f>
        <v>23795.568539</v>
      </c>
      <c r="H105" s="17">
        <f>SUM(H93:H104)</f>
        <v>77</v>
      </c>
      <c r="I105" s="17">
        <f t="shared" ref="I105" si="31">G105/H105</f>
        <v>309.03335764935065</v>
      </c>
      <c r="M105" s="17">
        <f>SUM(M93:M104)</f>
        <v>153801.035288427</v>
      </c>
      <c r="N105" s="17">
        <f>SUM(N93:N104)</f>
        <v>468</v>
      </c>
      <c r="O105" s="17">
        <f t="shared" ref="O105" si="32">M105/N105</f>
        <v>328.63469078723716</v>
      </c>
    </row>
    <row r="106" spans="1:16" x14ac:dyDescent="0.35">
      <c r="A106" s="13">
        <v>43466</v>
      </c>
      <c r="B106" s="7">
        <v>10731.996999999999</v>
      </c>
      <c r="C106" s="7">
        <v>17</v>
      </c>
      <c r="D106" s="7">
        <f t="shared" si="18"/>
        <v>631.29394117647053</v>
      </c>
      <c r="E106" s="24">
        <v>0.7039696339833118</v>
      </c>
      <c r="F106" s="24">
        <f t="shared" si="19"/>
        <v>0.2960303660166882</v>
      </c>
      <c r="G106" s="7">
        <v>3006.4859999999999</v>
      </c>
      <c r="H106" s="7">
        <v>7</v>
      </c>
      <c r="I106" s="7">
        <f t="shared" si="21"/>
        <v>429.49799999999999</v>
      </c>
      <c r="J106" s="24">
        <v>0</v>
      </c>
      <c r="K106" s="24">
        <f t="shared" si="20"/>
        <v>1</v>
      </c>
      <c r="M106" s="7">
        <f t="shared" si="22"/>
        <v>13738.483</v>
      </c>
      <c r="N106" s="7">
        <f t="shared" si="23"/>
        <v>24</v>
      </c>
      <c r="O106" s="7">
        <f t="shared" si="24"/>
        <v>572.43679166666664</v>
      </c>
      <c r="P106" s="10">
        <f t="shared" si="25"/>
        <v>0.50135484259515417</v>
      </c>
    </row>
    <row r="107" spans="1:16" x14ac:dyDescent="0.35">
      <c r="A107" s="13">
        <v>43497</v>
      </c>
      <c r="B107" s="7">
        <v>4005</v>
      </c>
      <c r="C107" s="7">
        <v>15</v>
      </c>
      <c r="D107" s="7">
        <f t="shared" si="18"/>
        <v>267</v>
      </c>
      <c r="E107" s="24">
        <v>0.65043695380774036</v>
      </c>
      <c r="F107" s="24">
        <f t="shared" si="19"/>
        <v>0.34956304619225964</v>
      </c>
      <c r="G107" s="7">
        <v>1334.06</v>
      </c>
      <c r="H107" s="7">
        <v>5</v>
      </c>
      <c r="I107" s="7">
        <f t="shared" si="21"/>
        <v>266.81200000000001</v>
      </c>
      <c r="J107" s="24">
        <v>0</v>
      </c>
      <c r="K107" s="24">
        <f t="shared" si="20"/>
        <v>1</v>
      </c>
      <c r="M107" s="7">
        <f t="shared" si="22"/>
        <v>5339.0599999999995</v>
      </c>
      <c r="N107" s="7">
        <f t="shared" si="23"/>
        <v>20</v>
      </c>
      <c r="O107" s="7">
        <f t="shared" si="24"/>
        <v>266.95299999999997</v>
      </c>
      <c r="P107" s="10">
        <f t="shared" si="25"/>
        <v>0.51217228464419473</v>
      </c>
    </row>
    <row r="108" spans="1:16" x14ac:dyDescent="0.35">
      <c r="A108" s="13">
        <v>43525</v>
      </c>
      <c r="B108" s="7">
        <v>9863.07</v>
      </c>
      <c r="C108" s="7">
        <v>30</v>
      </c>
      <c r="D108" s="7">
        <f t="shared" si="18"/>
        <v>328.76900000000001</v>
      </c>
      <c r="E108" s="24">
        <v>0.17267138933415255</v>
      </c>
      <c r="F108" s="24">
        <f t="shared" si="19"/>
        <v>0.82732861066584751</v>
      </c>
      <c r="G108" s="7">
        <v>1536.5</v>
      </c>
      <c r="H108" s="7">
        <v>5</v>
      </c>
      <c r="I108" s="7">
        <f t="shared" si="21"/>
        <v>307.3</v>
      </c>
      <c r="J108" s="24">
        <v>0</v>
      </c>
      <c r="K108" s="24">
        <f t="shared" si="20"/>
        <v>1</v>
      </c>
      <c r="M108" s="7">
        <f t="shared" si="22"/>
        <v>11399.57</v>
      </c>
      <c r="N108" s="7">
        <f t="shared" si="23"/>
        <v>35</v>
      </c>
      <c r="O108" s="7">
        <f t="shared" si="24"/>
        <v>325.702</v>
      </c>
      <c r="P108" s="10">
        <f t="shared" si="25"/>
        <v>0.85199595199929778</v>
      </c>
    </row>
    <row r="109" spans="1:16" x14ac:dyDescent="0.35">
      <c r="A109" s="13">
        <v>43556</v>
      </c>
      <c r="B109" s="7">
        <v>17919.450852000002</v>
      </c>
      <c r="C109" s="7">
        <v>40</v>
      </c>
      <c r="D109" s="7">
        <f t="shared" si="18"/>
        <v>447.98627130000006</v>
      </c>
      <c r="E109" s="24">
        <v>9.500849183723635E-2</v>
      </c>
      <c r="F109" s="24">
        <f t="shared" si="19"/>
        <v>0.90499150816276364</v>
      </c>
      <c r="G109" s="7">
        <v>2380.15</v>
      </c>
      <c r="H109" s="7">
        <v>10</v>
      </c>
      <c r="I109" s="7">
        <f t="shared" si="21"/>
        <v>238.01500000000001</v>
      </c>
      <c r="J109" s="24">
        <v>0</v>
      </c>
      <c r="K109" s="24">
        <f t="shared" si="20"/>
        <v>1</v>
      </c>
      <c r="M109" s="7">
        <f t="shared" si="22"/>
        <v>20299.600852000003</v>
      </c>
      <c r="N109" s="7">
        <f t="shared" si="23"/>
        <v>50</v>
      </c>
      <c r="O109" s="7">
        <f t="shared" si="24"/>
        <v>405.99201704000006</v>
      </c>
      <c r="P109" s="10">
        <f t="shared" si="25"/>
        <v>0.92399320653021089</v>
      </c>
    </row>
    <row r="110" spans="1:16" x14ac:dyDescent="0.35">
      <c r="A110" s="13">
        <v>43586</v>
      </c>
      <c r="B110" s="7">
        <v>18460.255000000001</v>
      </c>
      <c r="C110" s="7">
        <v>51</v>
      </c>
      <c r="D110" s="7">
        <f t="shared" si="18"/>
        <v>361.96578431372552</v>
      </c>
      <c r="E110" s="24">
        <v>0.33473400015330235</v>
      </c>
      <c r="F110" s="24">
        <f t="shared" si="19"/>
        <v>0.66526599984669765</v>
      </c>
      <c r="G110" s="7">
        <v>1757</v>
      </c>
      <c r="H110" s="7">
        <v>11</v>
      </c>
      <c r="I110" s="7">
        <f t="shared" si="21"/>
        <v>159.72727272727272</v>
      </c>
      <c r="J110" s="24">
        <v>0</v>
      </c>
      <c r="K110" s="24">
        <f t="shared" si="20"/>
        <v>1</v>
      </c>
      <c r="M110" s="7">
        <f t="shared" si="22"/>
        <v>20217.255000000001</v>
      </c>
      <c r="N110" s="7">
        <f t="shared" si="23"/>
        <v>62</v>
      </c>
      <c r="O110" s="7">
        <f t="shared" si="24"/>
        <v>326.08475806451617</v>
      </c>
      <c r="P110" s="10">
        <f t="shared" si="25"/>
        <v>0.72465429019647709</v>
      </c>
    </row>
    <row r="111" spans="1:16" x14ac:dyDescent="0.35">
      <c r="A111" s="13">
        <v>43617</v>
      </c>
      <c r="B111" s="7">
        <v>32282.68</v>
      </c>
      <c r="C111" s="7">
        <v>56</v>
      </c>
      <c r="D111" s="7">
        <f t="shared" si="18"/>
        <v>576.47642857142853</v>
      </c>
      <c r="E111" s="24">
        <v>0.25512132202159177</v>
      </c>
      <c r="F111" s="24">
        <f t="shared" si="19"/>
        <v>0.74487867797840823</v>
      </c>
      <c r="G111" s="7">
        <v>6692.799</v>
      </c>
      <c r="H111" s="7">
        <v>9</v>
      </c>
      <c r="I111" s="7">
        <f t="shared" si="21"/>
        <v>743.64433333333329</v>
      </c>
      <c r="J111" s="24">
        <v>0</v>
      </c>
      <c r="K111" s="24">
        <f t="shared" si="20"/>
        <v>1</v>
      </c>
      <c r="M111" s="7">
        <f t="shared" si="22"/>
        <v>38975.478999999999</v>
      </c>
      <c r="N111" s="7">
        <f t="shared" si="23"/>
        <v>65</v>
      </c>
      <c r="O111" s="7">
        <f t="shared" si="24"/>
        <v>599.62275384615384</v>
      </c>
      <c r="P111" s="10">
        <f t="shared" si="25"/>
        <v>0.7802031687198594</v>
      </c>
    </row>
    <row r="112" spans="1:16" x14ac:dyDescent="0.35">
      <c r="A112" s="13">
        <v>43647</v>
      </c>
      <c r="B112" s="7">
        <v>8855.57</v>
      </c>
      <c r="C112" s="7">
        <v>35</v>
      </c>
      <c r="D112" s="7">
        <f t="shared" si="18"/>
        <v>253.01628571428571</v>
      </c>
      <c r="E112" s="24">
        <v>0.14160579160912284</v>
      </c>
      <c r="F112" s="24">
        <f t="shared" si="19"/>
        <v>0.8583942083908771</v>
      </c>
      <c r="G112" s="7">
        <v>3617</v>
      </c>
      <c r="H112" s="7">
        <v>10</v>
      </c>
      <c r="I112" s="7">
        <f t="shared" si="21"/>
        <v>361.7</v>
      </c>
      <c r="J112" s="24">
        <v>0</v>
      </c>
      <c r="K112" s="24">
        <f t="shared" si="20"/>
        <v>1</v>
      </c>
      <c r="M112" s="7">
        <f t="shared" si="22"/>
        <v>12472.57</v>
      </c>
      <c r="N112" s="7">
        <f t="shared" si="23"/>
        <v>45</v>
      </c>
      <c r="O112" s="7">
        <f t="shared" si="24"/>
        <v>277.1682222222222</v>
      </c>
      <c r="P112" s="10">
        <f t="shared" si="25"/>
        <v>0.88986216208179325</v>
      </c>
    </row>
    <row r="113" spans="1:16" x14ac:dyDescent="0.35">
      <c r="A113" s="13">
        <v>43678</v>
      </c>
      <c r="B113" s="7">
        <v>13306.98</v>
      </c>
      <c r="C113" s="7">
        <v>27</v>
      </c>
      <c r="D113" s="7">
        <f t="shared" si="18"/>
        <v>492.85111111111109</v>
      </c>
      <c r="E113" s="24">
        <v>0.69249371382537583</v>
      </c>
      <c r="F113" s="24">
        <f t="shared" si="19"/>
        <v>0.30750628617462417</v>
      </c>
      <c r="G113" s="7">
        <v>3430.009</v>
      </c>
      <c r="H113" s="7">
        <v>5</v>
      </c>
      <c r="I113" s="7">
        <f t="shared" si="21"/>
        <v>686.0018</v>
      </c>
      <c r="J113" s="24">
        <v>0</v>
      </c>
      <c r="K113" s="24">
        <f t="shared" si="20"/>
        <v>1</v>
      </c>
      <c r="M113" s="7">
        <f t="shared" si="22"/>
        <v>16736.989000000001</v>
      </c>
      <c r="N113" s="7">
        <f t="shared" si="23"/>
        <v>32</v>
      </c>
      <c r="O113" s="7">
        <f t="shared" si="24"/>
        <v>523.03090625000004</v>
      </c>
      <c r="P113" s="10">
        <f t="shared" si="25"/>
        <v>0.41570842895983912</v>
      </c>
    </row>
    <row r="114" spans="1:16" x14ac:dyDescent="0.35">
      <c r="A114" s="13">
        <v>43709</v>
      </c>
      <c r="B114" s="7">
        <v>10611.348</v>
      </c>
      <c r="C114" s="7">
        <v>31</v>
      </c>
      <c r="D114" s="7">
        <f t="shared" si="18"/>
        <v>342.30154838709677</v>
      </c>
      <c r="E114" s="24">
        <v>0.41841997831001304</v>
      </c>
      <c r="F114" s="24">
        <f t="shared" si="19"/>
        <v>0.5815800216899869</v>
      </c>
      <c r="G114" s="7">
        <v>743.96</v>
      </c>
      <c r="H114" s="7">
        <v>5</v>
      </c>
      <c r="I114" s="7">
        <f t="shared" si="21"/>
        <v>148.792</v>
      </c>
      <c r="J114" s="24">
        <v>0</v>
      </c>
      <c r="K114" s="24">
        <f t="shared" si="20"/>
        <v>1</v>
      </c>
      <c r="M114" s="7">
        <f t="shared" si="22"/>
        <v>11355.308000000001</v>
      </c>
      <c r="N114" s="7">
        <f t="shared" si="23"/>
        <v>36</v>
      </c>
      <c r="O114" s="7">
        <f t="shared" si="24"/>
        <v>315.42522222222226</v>
      </c>
      <c r="P114" s="10">
        <f t="shared" si="25"/>
        <v>0.63969390756637756</v>
      </c>
    </row>
    <row r="115" spans="1:16" x14ac:dyDescent="0.35">
      <c r="A115" s="13">
        <v>43739</v>
      </c>
      <c r="B115" s="7">
        <v>10227.719999999999</v>
      </c>
      <c r="C115" s="7">
        <v>29</v>
      </c>
      <c r="D115" s="7">
        <f t="shared" si="18"/>
        <v>352.67999999999995</v>
      </c>
      <c r="E115" s="24">
        <v>0.50941167728486891</v>
      </c>
      <c r="F115" s="24">
        <f t="shared" si="19"/>
        <v>0.49058832271513109</v>
      </c>
      <c r="G115" s="7">
        <v>3379.636</v>
      </c>
      <c r="H115" s="7">
        <v>8</v>
      </c>
      <c r="I115" s="7">
        <f t="shared" si="21"/>
        <v>422.4545</v>
      </c>
      <c r="J115" s="24">
        <v>0</v>
      </c>
      <c r="K115" s="24">
        <f t="shared" si="20"/>
        <v>1</v>
      </c>
      <c r="M115" s="7">
        <f t="shared" si="22"/>
        <v>13607.356</v>
      </c>
      <c r="N115" s="7">
        <f t="shared" si="23"/>
        <v>37</v>
      </c>
      <c r="O115" s="7">
        <f t="shared" si="24"/>
        <v>367.76637837837836</v>
      </c>
      <c r="P115" s="10">
        <f t="shared" si="25"/>
        <v>0.60073138807402171</v>
      </c>
    </row>
    <row r="116" spans="1:16" x14ac:dyDescent="0.35">
      <c r="A116" s="13">
        <v>43770</v>
      </c>
      <c r="B116" s="7">
        <v>10666.924184</v>
      </c>
      <c r="C116" s="7">
        <v>39</v>
      </c>
      <c r="D116" s="7">
        <f t="shared" si="18"/>
        <v>273.51087651282052</v>
      </c>
      <c r="E116" s="24">
        <v>0.16958965572413409</v>
      </c>
      <c r="F116" s="24">
        <f t="shared" si="19"/>
        <v>0.83041034427586591</v>
      </c>
      <c r="G116" s="7">
        <v>5406.2049999999999</v>
      </c>
      <c r="H116" s="7">
        <v>16</v>
      </c>
      <c r="I116" s="7">
        <f t="shared" si="21"/>
        <v>337.8878125</v>
      </c>
      <c r="J116" s="24">
        <v>0</v>
      </c>
      <c r="K116" s="24">
        <f t="shared" si="20"/>
        <v>1</v>
      </c>
      <c r="M116" s="7">
        <f t="shared" si="22"/>
        <v>16073.129183999999</v>
      </c>
      <c r="N116" s="7">
        <f t="shared" si="23"/>
        <v>55</v>
      </c>
      <c r="O116" s="7">
        <f t="shared" si="24"/>
        <v>292.23871243636364</v>
      </c>
      <c r="P116" s="10">
        <f t="shared" si="25"/>
        <v>0.87974551685015945</v>
      </c>
    </row>
    <row r="117" spans="1:16" x14ac:dyDescent="0.35">
      <c r="A117" s="13">
        <v>43800</v>
      </c>
      <c r="B117" s="7">
        <v>9105.393</v>
      </c>
      <c r="C117" s="7">
        <v>58</v>
      </c>
      <c r="D117" s="7">
        <f t="shared" si="18"/>
        <v>156.98953448275861</v>
      </c>
      <c r="E117" s="24">
        <v>0.17554354875182213</v>
      </c>
      <c r="F117" s="24">
        <f t="shared" si="19"/>
        <v>0.8244564512481779</v>
      </c>
      <c r="G117" s="7">
        <v>4795.3249999999998</v>
      </c>
      <c r="H117" s="7">
        <v>11</v>
      </c>
      <c r="I117" s="7">
        <f t="shared" si="21"/>
        <v>435.93863636363636</v>
      </c>
      <c r="J117" s="24">
        <v>0</v>
      </c>
      <c r="K117" s="24">
        <f t="shared" si="20"/>
        <v>1</v>
      </c>
      <c r="M117" s="7">
        <f t="shared" si="22"/>
        <v>13900.718000000001</v>
      </c>
      <c r="N117" s="7">
        <f t="shared" si="23"/>
        <v>69</v>
      </c>
      <c r="O117" s="7">
        <f t="shared" si="24"/>
        <v>201.45968115942031</v>
      </c>
      <c r="P117" s="10">
        <f t="shared" si="25"/>
        <v>0.85244165467238142</v>
      </c>
    </row>
    <row r="118" spans="1:16" s="19" customFormat="1" ht="15" thickBot="1" x14ac:dyDescent="0.4">
      <c r="A118" s="19">
        <v>2019</v>
      </c>
      <c r="B118" s="17">
        <f>SUM(B106:B117)</f>
        <v>156036.38803600002</v>
      </c>
      <c r="C118" s="17">
        <f>SUM(C106:C117)</f>
        <v>428</v>
      </c>
      <c r="D118" s="17">
        <f t="shared" ref="D118" si="33">B118/C118</f>
        <v>364.5710000841122</v>
      </c>
      <c r="G118" s="17">
        <f>SUM(G106:G117)</f>
        <v>38079.129999999997</v>
      </c>
      <c r="H118" s="17">
        <f>SUM(H106:H117)</f>
        <v>102</v>
      </c>
      <c r="I118" s="17">
        <f t="shared" ref="I118" si="34">G118/H118</f>
        <v>373.32480392156862</v>
      </c>
      <c r="M118" s="17">
        <f>SUM(M106:M117)</f>
        <v>194115.51803599999</v>
      </c>
      <c r="N118" s="17">
        <f>SUM(N106:N117)</f>
        <v>530</v>
      </c>
      <c r="O118" s="17">
        <f t="shared" ref="O118" si="35">M118/N118</f>
        <v>366.25569440754714</v>
      </c>
    </row>
    <row r="119" spans="1:16" x14ac:dyDescent="0.35">
      <c r="A119" s="13">
        <v>43831</v>
      </c>
      <c r="B119" s="7">
        <v>5146</v>
      </c>
      <c r="C119" s="7">
        <v>11</v>
      </c>
      <c r="D119" s="7">
        <f t="shared" si="18"/>
        <v>467.81818181818181</v>
      </c>
      <c r="E119" s="24">
        <v>0.92790516906335019</v>
      </c>
      <c r="F119" s="24">
        <f t="shared" si="19"/>
        <v>7.2094830936649812E-2</v>
      </c>
      <c r="G119" s="7">
        <v>20</v>
      </c>
      <c r="H119" s="7">
        <v>1</v>
      </c>
      <c r="I119" s="7">
        <f t="shared" si="21"/>
        <v>20</v>
      </c>
      <c r="J119" s="24">
        <v>0</v>
      </c>
      <c r="K119" s="24">
        <f t="shared" si="20"/>
        <v>1</v>
      </c>
      <c r="M119" s="7">
        <f t="shared" si="22"/>
        <v>5166</v>
      </c>
      <c r="N119" s="7">
        <f t="shared" si="23"/>
        <v>12</v>
      </c>
      <c r="O119" s="7">
        <f t="shared" si="24"/>
        <v>430.5</v>
      </c>
      <c r="P119" s="10">
        <f t="shared" si="25"/>
        <v>0.14942026169192898</v>
      </c>
    </row>
    <row r="120" spans="1:16" x14ac:dyDescent="0.35">
      <c r="A120" s="13">
        <v>43862</v>
      </c>
      <c r="B120" s="7">
        <v>3061.3</v>
      </c>
      <c r="C120" s="7">
        <v>20</v>
      </c>
      <c r="D120" s="7">
        <f t="shared" si="18"/>
        <v>153.065</v>
      </c>
      <c r="E120" s="24">
        <v>0.47300166595890636</v>
      </c>
      <c r="F120" s="24">
        <f t="shared" si="19"/>
        <v>0.52699833404109364</v>
      </c>
      <c r="G120" s="7">
        <v>1280</v>
      </c>
      <c r="H120" s="7">
        <v>4</v>
      </c>
      <c r="I120" s="7">
        <f t="shared" si="21"/>
        <v>320</v>
      </c>
      <c r="J120" s="24">
        <v>0</v>
      </c>
      <c r="K120" s="24">
        <f t="shared" si="20"/>
        <v>1</v>
      </c>
      <c r="M120" s="7">
        <f t="shared" si="22"/>
        <v>4341.3</v>
      </c>
      <c r="N120" s="7">
        <f t="shared" si="23"/>
        <v>24</v>
      </c>
      <c r="O120" s="7">
        <f t="shared" si="24"/>
        <v>180.88750000000002</v>
      </c>
      <c r="P120" s="10">
        <f t="shared" si="25"/>
        <v>0.60583194503424476</v>
      </c>
    </row>
    <row r="121" spans="1:16" x14ac:dyDescent="0.35">
      <c r="A121" s="13">
        <v>43891</v>
      </c>
      <c r="B121" s="7">
        <v>3189.8</v>
      </c>
      <c r="C121" s="7">
        <v>17</v>
      </c>
      <c r="D121" s="7">
        <f t="shared" si="18"/>
        <v>187.63529411764708</v>
      </c>
      <c r="E121" s="24">
        <v>0.34259201203837231</v>
      </c>
      <c r="F121" s="24">
        <f t="shared" si="19"/>
        <v>0.65740798796162769</v>
      </c>
      <c r="G121" s="7">
        <v>760</v>
      </c>
      <c r="H121" s="7">
        <v>3</v>
      </c>
      <c r="I121" s="7">
        <f t="shared" si="21"/>
        <v>253.33333333333334</v>
      </c>
      <c r="J121" s="24">
        <v>0</v>
      </c>
      <c r="K121" s="24">
        <f t="shared" si="20"/>
        <v>1</v>
      </c>
      <c r="M121" s="7">
        <f t="shared" si="22"/>
        <v>3949.8</v>
      </c>
      <c r="N121" s="7">
        <f t="shared" si="23"/>
        <v>20</v>
      </c>
      <c r="O121" s="7">
        <f t="shared" si="24"/>
        <v>197.49</v>
      </c>
      <c r="P121" s="10">
        <f t="shared" si="25"/>
        <v>0.70879678976738358</v>
      </c>
    </row>
    <row r="122" spans="1:16" x14ac:dyDescent="0.35">
      <c r="A122" s="13">
        <v>43922</v>
      </c>
      <c r="B122" s="7">
        <v>11331.221</v>
      </c>
      <c r="C122" s="7">
        <v>31</v>
      </c>
      <c r="D122" s="7">
        <f t="shared" si="18"/>
        <v>365.52325806451614</v>
      </c>
      <c r="E122" s="24">
        <v>0.60833250008979611</v>
      </c>
      <c r="F122" s="24">
        <f t="shared" si="19"/>
        <v>0.39166749991020389</v>
      </c>
      <c r="G122" s="7">
        <v>1500</v>
      </c>
      <c r="H122" s="7">
        <v>2</v>
      </c>
      <c r="I122" s="7">
        <f t="shared" si="21"/>
        <v>750</v>
      </c>
      <c r="J122" s="24">
        <v>0</v>
      </c>
      <c r="K122" s="24">
        <f t="shared" si="20"/>
        <v>1</v>
      </c>
      <c r="M122" s="7">
        <f t="shared" si="22"/>
        <v>12831.221</v>
      </c>
      <c r="N122" s="7">
        <f t="shared" si="23"/>
        <v>33</v>
      </c>
      <c r="O122" s="7">
        <f t="shared" si="24"/>
        <v>388.82487878787879</v>
      </c>
      <c r="P122" s="10">
        <f t="shared" si="25"/>
        <v>0.42853613627928244</v>
      </c>
    </row>
    <row r="123" spans="1:16" x14ac:dyDescent="0.35">
      <c r="A123" s="13">
        <v>43952</v>
      </c>
      <c r="B123" s="7">
        <v>4914.57</v>
      </c>
      <c r="C123" s="7">
        <v>14</v>
      </c>
      <c r="D123" s="7">
        <f t="shared" si="18"/>
        <v>351.04071428571427</v>
      </c>
      <c r="E123" s="24">
        <v>0.58360548328744932</v>
      </c>
      <c r="F123" s="24">
        <f t="shared" si="19"/>
        <v>0.41639451671255068</v>
      </c>
      <c r="G123" s="7">
        <v>1010</v>
      </c>
      <c r="H123" s="7">
        <v>2</v>
      </c>
      <c r="I123" s="7">
        <f t="shared" si="21"/>
        <v>505</v>
      </c>
      <c r="J123" s="24">
        <v>0</v>
      </c>
      <c r="K123" s="24">
        <f t="shared" si="20"/>
        <v>1</v>
      </c>
      <c r="M123" s="7">
        <f t="shared" si="22"/>
        <v>5924.57</v>
      </c>
      <c r="N123" s="7">
        <f t="shared" si="23"/>
        <v>16</v>
      </c>
      <c r="O123" s="7">
        <f t="shared" si="24"/>
        <v>370.28562499999998</v>
      </c>
      <c r="P123" s="10">
        <f t="shared" si="25"/>
        <v>0.48934520212348187</v>
      </c>
    </row>
    <row r="124" spans="1:16" x14ac:dyDescent="0.35">
      <c r="A124" s="13">
        <v>43983</v>
      </c>
      <c r="B124" s="7">
        <v>14032.771703</v>
      </c>
      <c r="C124" s="7">
        <v>37</v>
      </c>
      <c r="D124" s="7">
        <f t="shared" si="18"/>
        <v>379.2641000810811</v>
      </c>
      <c r="E124" s="24">
        <v>0.2067303638510565</v>
      </c>
      <c r="F124" s="24">
        <f t="shared" si="19"/>
        <v>0.79326963614894352</v>
      </c>
      <c r="G124" s="7">
        <v>999.51800000000003</v>
      </c>
      <c r="H124" s="7">
        <v>3</v>
      </c>
      <c r="I124" s="7">
        <f t="shared" si="21"/>
        <v>333.17266666666666</v>
      </c>
      <c r="J124" s="24">
        <v>0</v>
      </c>
      <c r="K124" s="24">
        <f t="shared" si="20"/>
        <v>1</v>
      </c>
      <c r="M124" s="7">
        <f t="shared" si="22"/>
        <v>15032.289703</v>
      </c>
      <c r="N124" s="7">
        <f t="shared" si="23"/>
        <v>40</v>
      </c>
      <c r="O124" s="7">
        <f t="shared" si="24"/>
        <v>375.80724257500003</v>
      </c>
      <c r="P124" s="10">
        <f t="shared" si="25"/>
        <v>0.80877441343777279</v>
      </c>
    </row>
    <row r="125" spans="1:16" x14ac:dyDescent="0.35">
      <c r="A125" s="13">
        <v>44013</v>
      </c>
      <c r="B125" s="7">
        <v>3231.4349999999999</v>
      </c>
      <c r="C125" s="7">
        <v>12</v>
      </c>
      <c r="D125" s="7">
        <f t="shared" si="18"/>
        <v>269.28625</v>
      </c>
      <c r="E125" s="24">
        <v>0.83931287493017803</v>
      </c>
      <c r="F125" s="24">
        <f t="shared" si="19"/>
        <v>0.16068712506982197</v>
      </c>
      <c r="G125" s="7">
        <v>2512.29</v>
      </c>
      <c r="H125" s="7">
        <v>7</v>
      </c>
      <c r="I125" s="7">
        <f t="shared" si="21"/>
        <v>358.89857142857142</v>
      </c>
      <c r="J125" s="24">
        <v>0</v>
      </c>
      <c r="K125" s="24">
        <f t="shared" si="20"/>
        <v>1</v>
      </c>
      <c r="M125" s="7">
        <f t="shared" si="22"/>
        <v>5743.7250000000004</v>
      </c>
      <c r="N125" s="7">
        <f t="shared" si="23"/>
        <v>19</v>
      </c>
      <c r="O125" s="7">
        <f t="shared" si="24"/>
        <v>302.30131578947368</v>
      </c>
      <c r="P125" s="10">
        <f t="shared" si="25"/>
        <v>0.46990765793883493</v>
      </c>
    </row>
    <row r="126" spans="1:16" x14ac:dyDescent="0.35">
      <c r="A126" s="13">
        <v>44044</v>
      </c>
      <c r="B126" s="7">
        <v>10664.154</v>
      </c>
      <c r="C126" s="7">
        <v>20</v>
      </c>
      <c r="D126" s="7">
        <f t="shared" si="18"/>
        <v>533.20770000000005</v>
      </c>
      <c r="E126" s="24">
        <v>0.46323412058753088</v>
      </c>
      <c r="F126" s="24">
        <f t="shared" si="19"/>
        <v>0.53676587941246912</v>
      </c>
      <c r="G126" s="7">
        <v>3025</v>
      </c>
      <c r="H126" s="7">
        <v>4</v>
      </c>
      <c r="I126" s="7">
        <f t="shared" si="21"/>
        <v>756.25</v>
      </c>
      <c r="J126" s="24">
        <v>0</v>
      </c>
      <c r="K126" s="24">
        <f t="shared" si="20"/>
        <v>1</v>
      </c>
      <c r="M126" s="7">
        <f t="shared" si="22"/>
        <v>13689.154</v>
      </c>
      <c r="N126" s="7">
        <f t="shared" si="23"/>
        <v>24</v>
      </c>
      <c r="O126" s="7">
        <f t="shared" si="24"/>
        <v>570.38141666666672</v>
      </c>
      <c r="P126" s="10">
        <f t="shared" si="25"/>
        <v>0.61397156617705761</v>
      </c>
    </row>
    <row r="127" spans="1:16" x14ac:dyDescent="0.35">
      <c r="A127" s="13">
        <v>44075</v>
      </c>
      <c r="B127" s="7">
        <v>6573.95</v>
      </c>
      <c r="C127" s="7">
        <v>29</v>
      </c>
      <c r="D127" s="7">
        <f t="shared" si="18"/>
        <v>226.68793103448274</v>
      </c>
      <c r="E127" s="24">
        <v>0.12092425406338655</v>
      </c>
      <c r="F127" s="24">
        <f t="shared" si="19"/>
        <v>0.87907574593661342</v>
      </c>
      <c r="G127" s="7">
        <v>5302.9679999999998</v>
      </c>
      <c r="H127" s="7">
        <v>9</v>
      </c>
      <c r="I127" s="7">
        <f t="shared" si="21"/>
        <v>589.21866666666665</v>
      </c>
      <c r="J127" s="24">
        <v>0</v>
      </c>
      <c r="K127" s="24">
        <f t="shared" si="20"/>
        <v>1</v>
      </c>
      <c r="M127" s="7">
        <f t="shared" si="22"/>
        <v>11876.918</v>
      </c>
      <c r="N127" s="7">
        <f t="shared" si="23"/>
        <v>38</v>
      </c>
      <c r="O127" s="7">
        <f t="shared" si="24"/>
        <v>312.55047368421054</v>
      </c>
      <c r="P127" s="10">
        <f t="shared" si="25"/>
        <v>0.90771570084636288</v>
      </c>
    </row>
    <row r="128" spans="1:16" x14ac:dyDescent="0.35">
      <c r="A128" s="13">
        <v>44105</v>
      </c>
      <c r="B128" s="7">
        <v>8216.7567170000002</v>
      </c>
      <c r="C128" s="7">
        <v>37</v>
      </c>
      <c r="D128" s="7">
        <f t="shared" si="18"/>
        <v>222.07450586486488</v>
      </c>
      <c r="E128" s="24">
        <v>0.38896234975384386</v>
      </c>
      <c r="F128" s="24">
        <f t="shared" si="19"/>
        <v>0.61103765024615608</v>
      </c>
      <c r="G128" s="7">
        <v>1985</v>
      </c>
      <c r="H128" s="7">
        <v>12</v>
      </c>
      <c r="I128" s="7">
        <f t="shared" si="21"/>
        <v>165.41666666666666</v>
      </c>
      <c r="J128" s="24">
        <v>0</v>
      </c>
      <c r="K128" s="24">
        <f t="shared" si="20"/>
        <v>1</v>
      </c>
      <c r="M128" s="7">
        <f t="shared" si="22"/>
        <v>10201.756717</v>
      </c>
      <c r="N128" s="7">
        <f t="shared" si="23"/>
        <v>49</v>
      </c>
      <c r="O128" s="7">
        <f t="shared" si="24"/>
        <v>208.1991166734694</v>
      </c>
      <c r="P128" s="10">
        <f t="shared" si="25"/>
        <v>0.70629373590015865</v>
      </c>
    </row>
    <row r="129" spans="1:16" x14ac:dyDescent="0.35">
      <c r="A129" s="13">
        <v>44136</v>
      </c>
      <c r="B129" s="7">
        <v>5940</v>
      </c>
      <c r="C129" s="7">
        <v>19</v>
      </c>
      <c r="D129" s="7">
        <f t="shared" si="18"/>
        <v>312.63157894736844</v>
      </c>
      <c r="E129" s="24">
        <v>0.35358265993265992</v>
      </c>
      <c r="F129" s="24">
        <f t="shared" si="19"/>
        <v>0.64641734006734008</v>
      </c>
      <c r="G129" s="7">
        <v>5035.2299999999996</v>
      </c>
      <c r="H129" s="7">
        <v>7</v>
      </c>
      <c r="I129" s="7">
        <f t="shared" si="21"/>
        <v>719.31857142857132</v>
      </c>
      <c r="J129" s="24">
        <v>0</v>
      </c>
      <c r="K129" s="24">
        <f t="shared" si="20"/>
        <v>1</v>
      </c>
      <c r="M129" s="7">
        <f t="shared" si="22"/>
        <v>10975.23</v>
      </c>
      <c r="N129" s="7">
        <f t="shared" si="23"/>
        <v>26</v>
      </c>
      <c r="O129" s="7">
        <f t="shared" si="24"/>
        <v>422.12423076923073</v>
      </c>
      <c r="P129" s="10">
        <f t="shared" si="25"/>
        <v>0.74161267158767152</v>
      </c>
    </row>
    <row r="130" spans="1:16" x14ac:dyDescent="0.35">
      <c r="A130" s="13">
        <v>44166</v>
      </c>
      <c r="B130" s="7">
        <v>19677.942999999999</v>
      </c>
      <c r="C130" s="7">
        <v>39</v>
      </c>
      <c r="D130" s="7">
        <f t="shared" si="18"/>
        <v>504.56264102564103</v>
      </c>
      <c r="E130" s="24">
        <v>0.29900228900957787</v>
      </c>
      <c r="F130" s="24">
        <f t="shared" si="19"/>
        <v>0.70099771099042218</v>
      </c>
      <c r="G130" s="7">
        <v>2682</v>
      </c>
      <c r="H130" s="7">
        <v>16</v>
      </c>
      <c r="I130" s="7">
        <f t="shared" si="21"/>
        <v>167.625</v>
      </c>
      <c r="J130" s="24">
        <v>0</v>
      </c>
      <c r="K130" s="24">
        <f t="shared" si="20"/>
        <v>1</v>
      </c>
      <c r="M130" s="7">
        <f t="shared" si="22"/>
        <v>22359.942999999999</v>
      </c>
      <c r="N130" s="7">
        <f t="shared" si="23"/>
        <v>55</v>
      </c>
      <c r="O130" s="7">
        <f t="shared" si="24"/>
        <v>406.54441818181817</v>
      </c>
      <c r="P130" s="10">
        <f t="shared" si="25"/>
        <v>0.78798019506593575</v>
      </c>
    </row>
    <row r="131" spans="1:16" s="19" customFormat="1" ht="15" thickBot="1" x14ac:dyDescent="0.4">
      <c r="A131" s="19">
        <v>2020</v>
      </c>
      <c r="B131" s="17">
        <f>SUM(B119:B130)</f>
        <v>95979.901419999995</v>
      </c>
      <c r="C131" s="17">
        <f>SUM(C119:C130)</f>
        <v>286</v>
      </c>
      <c r="D131" s="17">
        <f t="shared" si="18"/>
        <v>335.5940609090909</v>
      </c>
      <c r="G131" s="17">
        <f>SUM(G119:G130)</f>
        <v>26112.006000000001</v>
      </c>
      <c r="H131" s="17">
        <f>SUM(H119:H130)</f>
        <v>70</v>
      </c>
      <c r="I131" s="17">
        <f t="shared" ref="I131" si="36">G131/H131</f>
        <v>373.02865714285718</v>
      </c>
      <c r="M131" s="17">
        <f>SUM(M119:M130)</f>
        <v>122091.90741999999</v>
      </c>
      <c r="N131" s="17">
        <f>SUM(N119:N130)</f>
        <v>356</v>
      </c>
      <c r="O131" s="17">
        <f t="shared" ref="O131" si="37">M131/N131</f>
        <v>342.95479612359549</v>
      </c>
    </row>
    <row r="132" spans="1:16" x14ac:dyDescent="0.35">
      <c r="A132" s="13">
        <v>44197</v>
      </c>
      <c r="B132" s="7">
        <v>5206.9356189999999</v>
      </c>
      <c r="C132" s="7">
        <v>20</v>
      </c>
      <c r="D132" s="7">
        <f t="shared" si="18"/>
        <v>260.34678094999998</v>
      </c>
      <c r="E132" s="24">
        <v>0.44378501465777392</v>
      </c>
      <c r="F132" s="24">
        <f t="shared" si="19"/>
        <v>0.55621498534222602</v>
      </c>
      <c r="G132" s="7">
        <v>3218</v>
      </c>
      <c r="H132" s="7">
        <v>5</v>
      </c>
      <c r="I132" s="7">
        <f t="shared" si="21"/>
        <v>643.6</v>
      </c>
      <c r="J132" s="24">
        <v>0</v>
      </c>
      <c r="K132" s="24">
        <f t="shared" si="20"/>
        <v>1</v>
      </c>
      <c r="M132" s="7">
        <f t="shared" si="22"/>
        <v>8424.9356189999999</v>
      </c>
      <c r="N132" s="7">
        <f t="shared" si="23"/>
        <v>25</v>
      </c>
      <c r="O132" s="7">
        <f t="shared" si="24"/>
        <v>336.99742476</v>
      </c>
      <c r="P132" s="10">
        <f t="shared" si="25"/>
        <v>0.64497198827378088</v>
      </c>
    </row>
    <row r="133" spans="1:16" x14ac:dyDescent="0.35">
      <c r="A133" s="13">
        <v>44228</v>
      </c>
      <c r="B133" s="7">
        <v>9890.2000000000007</v>
      </c>
      <c r="C133" s="7">
        <v>20</v>
      </c>
      <c r="D133" s="7">
        <f t="shared" si="18"/>
        <v>494.51000000000005</v>
      </c>
      <c r="E133" s="24">
        <v>0.43204384137833413</v>
      </c>
      <c r="F133" s="24">
        <f t="shared" si="19"/>
        <v>0.56795615862166593</v>
      </c>
      <c r="G133" s="7">
        <v>1220</v>
      </c>
      <c r="H133" s="7">
        <v>5</v>
      </c>
      <c r="I133" s="7">
        <f t="shared" si="21"/>
        <v>244</v>
      </c>
      <c r="J133" s="24">
        <v>0</v>
      </c>
      <c r="K133" s="24">
        <f t="shared" si="20"/>
        <v>1</v>
      </c>
      <c r="M133" s="7">
        <f t="shared" si="22"/>
        <v>11110.2</v>
      </c>
      <c r="N133" s="7">
        <f t="shared" si="23"/>
        <v>25</v>
      </c>
      <c r="O133" s="7">
        <f t="shared" si="24"/>
        <v>444.40800000000002</v>
      </c>
      <c r="P133" s="10">
        <f t="shared" si="25"/>
        <v>0.65436492689733272</v>
      </c>
    </row>
    <row r="134" spans="1:16" x14ac:dyDescent="0.35">
      <c r="A134" s="13">
        <v>44256</v>
      </c>
      <c r="B134" s="7">
        <v>9207.6</v>
      </c>
      <c r="C134" s="7">
        <v>46</v>
      </c>
      <c r="D134" s="7">
        <f t="shared" si="18"/>
        <v>200.16521739130437</v>
      </c>
      <c r="E134" s="24">
        <v>0.46250923150440942</v>
      </c>
      <c r="F134" s="24">
        <f t="shared" si="19"/>
        <v>0.53749076849559052</v>
      </c>
      <c r="G134" s="7">
        <v>3289.99</v>
      </c>
      <c r="H134" s="7">
        <v>13</v>
      </c>
      <c r="I134" s="7">
        <f t="shared" si="21"/>
        <v>253.07615384615383</v>
      </c>
      <c r="J134" s="24">
        <v>0</v>
      </c>
      <c r="K134" s="24">
        <f t="shared" si="20"/>
        <v>1</v>
      </c>
      <c r="M134" s="7">
        <f t="shared" si="22"/>
        <v>12497.59</v>
      </c>
      <c r="N134" s="7">
        <f t="shared" si="23"/>
        <v>59</v>
      </c>
      <c r="O134" s="7">
        <f t="shared" si="24"/>
        <v>211.8235593220339</v>
      </c>
      <c r="P134" s="10">
        <f t="shared" si="25"/>
        <v>0.63939958221690119</v>
      </c>
    </row>
    <row r="135" spans="1:16" x14ac:dyDescent="0.35">
      <c r="A135" s="13">
        <v>44287</v>
      </c>
      <c r="B135" s="7">
        <v>14206.45</v>
      </c>
      <c r="C135" s="7">
        <v>37</v>
      </c>
      <c r="D135" s="7">
        <f t="shared" si="18"/>
        <v>383.95810810810815</v>
      </c>
      <c r="E135" s="24">
        <v>0.22190075634658904</v>
      </c>
      <c r="F135" s="24">
        <f t="shared" si="19"/>
        <v>0.77809924365341099</v>
      </c>
      <c r="G135" s="7">
        <v>4551.3810000000003</v>
      </c>
      <c r="H135" s="7">
        <v>8</v>
      </c>
      <c r="I135" s="7">
        <f t="shared" si="21"/>
        <v>568.92262500000004</v>
      </c>
      <c r="J135" s="24">
        <v>0</v>
      </c>
      <c r="K135" s="24">
        <f t="shared" si="20"/>
        <v>1</v>
      </c>
      <c r="M135" s="7">
        <f t="shared" si="22"/>
        <v>18757.831000000002</v>
      </c>
      <c r="N135" s="7">
        <f t="shared" si="23"/>
        <v>45</v>
      </c>
      <c r="O135" s="7">
        <f t="shared" si="24"/>
        <v>416.84068888888891</v>
      </c>
      <c r="P135" s="10">
        <f t="shared" si="25"/>
        <v>0.8175482670039157</v>
      </c>
    </row>
    <row r="136" spans="1:16" x14ac:dyDescent="0.35">
      <c r="A136" s="13">
        <v>44317</v>
      </c>
      <c r="B136" s="7">
        <v>16869.712732</v>
      </c>
      <c r="C136" s="7">
        <v>51</v>
      </c>
      <c r="D136" s="7">
        <f t="shared" si="18"/>
        <v>330.77868101960786</v>
      </c>
      <c r="E136" s="24">
        <v>0.40748945220390964</v>
      </c>
      <c r="F136" s="24">
        <f t="shared" si="19"/>
        <v>0.59251054779609036</v>
      </c>
      <c r="G136" s="7">
        <v>1834</v>
      </c>
      <c r="H136" s="7">
        <v>6</v>
      </c>
      <c r="I136" s="7">
        <f t="shared" si="21"/>
        <v>305.66666666666669</v>
      </c>
      <c r="J136" s="24">
        <v>0</v>
      </c>
      <c r="K136" s="24">
        <f t="shared" si="20"/>
        <v>1</v>
      </c>
      <c r="M136" s="7">
        <f t="shared" si="22"/>
        <v>18703.712732</v>
      </c>
      <c r="N136" s="7">
        <f t="shared" si="23"/>
        <v>57</v>
      </c>
      <c r="O136" s="7">
        <f t="shared" si="24"/>
        <v>328.13531108771929</v>
      </c>
      <c r="P136" s="10">
        <f t="shared" si="25"/>
        <v>0.63540417434387042</v>
      </c>
    </row>
    <row r="137" spans="1:16" x14ac:dyDescent="0.35">
      <c r="A137" s="13">
        <v>44348</v>
      </c>
      <c r="B137" s="7">
        <v>17660.75</v>
      </c>
      <c r="C137" s="7">
        <v>54</v>
      </c>
      <c r="D137" s="7">
        <f t="shared" ref="D137:D144" si="38">B137/C137</f>
        <v>327.05092592592592</v>
      </c>
      <c r="E137" s="24">
        <v>0.36231473748283621</v>
      </c>
      <c r="F137" s="24">
        <f t="shared" si="19"/>
        <v>0.63768526251716384</v>
      </c>
      <c r="G137" s="7">
        <v>7533.4340000000002</v>
      </c>
      <c r="H137" s="7">
        <v>14</v>
      </c>
      <c r="I137" s="7">
        <f t="shared" si="21"/>
        <v>538.10242857142862</v>
      </c>
      <c r="J137" s="24">
        <v>0</v>
      </c>
      <c r="K137" s="24">
        <f t="shared" si="20"/>
        <v>1</v>
      </c>
      <c r="M137" s="7">
        <f t="shared" si="22"/>
        <v>25194.184000000001</v>
      </c>
      <c r="N137" s="7">
        <f t="shared" si="23"/>
        <v>68</v>
      </c>
      <c r="O137" s="7">
        <f t="shared" si="24"/>
        <v>370.50270588235298</v>
      </c>
      <c r="P137" s="10">
        <f t="shared" si="25"/>
        <v>0.71227947317539486</v>
      </c>
    </row>
    <row r="138" spans="1:16" x14ac:dyDescent="0.35">
      <c r="A138" s="13">
        <v>44378</v>
      </c>
      <c r="B138" s="7">
        <v>28805.97208888</v>
      </c>
      <c r="C138" s="7">
        <v>48</v>
      </c>
      <c r="D138" s="7">
        <f t="shared" si="38"/>
        <v>600.1244185183333</v>
      </c>
      <c r="E138" s="24">
        <v>0.64621407220782734</v>
      </c>
      <c r="F138" s="24">
        <f t="shared" si="19"/>
        <v>0.35378592779217266</v>
      </c>
      <c r="G138" s="7">
        <v>4152</v>
      </c>
      <c r="H138" s="7">
        <v>10</v>
      </c>
      <c r="I138" s="7">
        <f t="shared" si="21"/>
        <v>415.2</v>
      </c>
      <c r="J138" s="24">
        <v>0</v>
      </c>
      <c r="K138" s="24">
        <f t="shared" si="20"/>
        <v>1</v>
      </c>
      <c r="M138" s="7">
        <f t="shared" si="22"/>
        <v>32957.97208888</v>
      </c>
      <c r="N138" s="7">
        <f t="shared" si="23"/>
        <v>58</v>
      </c>
      <c r="O138" s="7">
        <f t="shared" si="24"/>
        <v>568.24089808413794</v>
      </c>
      <c r="P138" s="10">
        <f t="shared" si="25"/>
        <v>0.46520214713834979</v>
      </c>
    </row>
    <row r="139" spans="1:16" x14ac:dyDescent="0.35">
      <c r="A139" s="13">
        <v>44409</v>
      </c>
      <c r="B139" s="7">
        <v>10394.5</v>
      </c>
      <c r="C139" s="7">
        <v>36</v>
      </c>
      <c r="D139" s="7">
        <f t="shared" si="38"/>
        <v>288.73611111111109</v>
      </c>
      <c r="E139" s="24">
        <v>0.27498359709461734</v>
      </c>
      <c r="F139" s="24">
        <f t="shared" si="19"/>
        <v>0.72501640290538272</v>
      </c>
      <c r="G139" s="7">
        <v>2542</v>
      </c>
      <c r="H139" s="7">
        <v>9</v>
      </c>
      <c r="I139" s="7">
        <f t="shared" si="21"/>
        <v>282.44444444444446</v>
      </c>
      <c r="J139" s="24">
        <v>0</v>
      </c>
      <c r="K139" s="24">
        <f t="shared" si="20"/>
        <v>1</v>
      </c>
      <c r="M139" s="7">
        <f t="shared" si="22"/>
        <v>12936.5</v>
      </c>
      <c r="N139" s="7">
        <f t="shared" si="23"/>
        <v>45</v>
      </c>
      <c r="O139" s="7">
        <f t="shared" si="24"/>
        <v>287.47777777777776</v>
      </c>
      <c r="P139" s="10">
        <f t="shared" si="25"/>
        <v>0.78001312232430631</v>
      </c>
    </row>
    <row r="140" spans="1:16" x14ac:dyDescent="0.35">
      <c r="A140" s="13">
        <v>44440</v>
      </c>
      <c r="B140" s="7">
        <v>21329.638002</v>
      </c>
      <c r="C140" s="7">
        <v>62</v>
      </c>
      <c r="D140" s="7">
        <f t="shared" si="38"/>
        <v>344.02641938709678</v>
      </c>
      <c r="E140" s="24">
        <v>0.31960748707318826</v>
      </c>
      <c r="F140" s="24">
        <f t="shared" ref="F140:F142" si="39">1-E140</f>
        <v>0.6803925129268118</v>
      </c>
      <c r="G140" s="7">
        <v>1378.807</v>
      </c>
      <c r="H140" s="7">
        <v>6</v>
      </c>
      <c r="I140" s="7">
        <f t="shared" si="21"/>
        <v>229.80116666666666</v>
      </c>
      <c r="J140" s="24">
        <v>0</v>
      </c>
      <c r="K140" s="24">
        <f t="shared" ref="K140:K143" si="40">1-J140</f>
        <v>1</v>
      </c>
      <c r="M140" s="7">
        <f t="shared" si="22"/>
        <v>22708.445002</v>
      </c>
      <c r="N140" s="7">
        <f t="shared" si="23"/>
        <v>68</v>
      </c>
      <c r="O140" s="7">
        <f t="shared" si="24"/>
        <v>333.94772061764706</v>
      </c>
      <c r="P140" s="10">
        <f t="shared" si="25"/>
        <v>0.70859317355091667</v>
      </c>
    </row>
    <row r="141" spans="1:16" x14ac:dyDescent="0.35">
      <c r="A141" s="13">
        <v>44470</v>
      </c>
      <c r="B141" s="7">
        <v>25790.161</v>
      </c>
      <c r="C141" s="7">
        <v>66</v>
      </c>
      <c r="D141" s="7">
        <f t="shared" si="38"/>
        <v>390.76001515151518</v>
      </c>
      <c r="E141" s="24">
        <v>9.9449476100595111E-2</v>
      </c>
      <c r="F141" s="24">
        <f t="shared" si="39"/>
        <v>0.90055052389940493</v>
      </c>
      <c r="G141" s="7">
        <v>10160.656999999999</v>
      </c>
      <c r="H141" s="7">
        <v>17</v>
      </c>
      <c r="I141" s="7">
        <f t="shared" ref="I141:I143" si="41">IFERROR(G141/H141,0)</f>
        <v>597.68570588235286</v>
      </c>
      <c r="J141" s="24">
        <v>0</v>
      </c>
      <c r="K141" s="24">
        <f t="shared" si="40"/>
        <v>1</v>
      </c>
      <c r="M141" s="7">
        <f t="shared" ref="M141:M143" si="42">+B141+G141</f>
        <v>35950.817999999999</v>
      </c>
      <c r="N141" s="7">
        <f t="shared" ref="N141:N143" si="43">+C141+H141</f>
        <v>83</v>
      </c>
      <c r="O141" s="7">
        <f t="shared" ref="O141:O143" si="44">+M141/N141</f>
        <v>433.14238554216865</v>
      </c>
      <c r="P141" s="10">
        <f t="shared" ref="P141:P143" si="45">((C141*F141)+(H141*K141))/N141</f>
        <v>0.92091969370314131</v>
      </c>
    </row>
    <row r="142" spans="1:16" x14ac:dyDescent="0.35">
      <c r="A142" s="13">
        <v>44501</v>
      </c>
      <c r="B142" s="7">
        <v>20633.432000000001</v>
      </c>
      <c r="C142" s="7">
        <v>50</v>
      </c>
      <c r="D142" s="7">
        <f t="shared" si="38"/>
        <v>412.66864000000004</v>
      </c>
      <c r="E142" s="24">
        <v>0.13940540768981138</v>
      </c>
      <c r="F142" s="24">
        <f t="shared" si="39"/>
        <v>0.86059459231018864</v>
      </c>
      <c r="G142" s="7">
        <v>3278.5</v>
      </c>
      <c r="H142" s="7">
        <v>11</v>
      </c>
      <c r="I142" s="7">
        <f t="shared" si="41"/>
        <v>298.04545454545456</v>
      </c>
      <c r="J142" s="24">
        <v>0</v>
      </c>
      <c r="K142" s="24">
        <f t="shared" si="40"/>
        <v>1</v>
      </c>
      <c r="M142" s="7">
        <f t="shared" si="42"/>
        <v>23911.932000000001</v>
      </c>
      <c r="N142" s="7">
        <f t="shared" si="43"/>
        <v>61</v>
      </c>
      <c r="O142" s="7">
        <f t="shared" si="44"/>
        <v>391.99888524590165</v>
      </c>
      <c r="P142" s="10">
        <f t="shared" si="45"/>
        <v>0.88573327238540056</v>
      </c>
    </row>
    <row r="143" spans="1:16" x14ac:dyDescent="0.35">
      <c r="A143" s="13">
        <v>44531</v>
      </c>
      <c r="B143" s="7">
        <v>22710.560000000001</v>
      </c>
      <c r="C143" s="7">
        <v>61</v>
      </c>
      <c r="D143" s="7">
        <f t="shared" si="38"/>
        <v>372.30426229508197</v>
      </c>
      <c r="E143" s="24">
        <v>0.42284921467077602</v>
      </c>
      <c r="F143" s="24">
        <f t="shared" ref="F143" si="46">1-E143</f>
        <v>0.57715078532922393</v>
      </c>
      <c r="G143" s="7">
        <v>3134.5</v>
      </c>
      <c r="H143" s="7">
        <v>11</v>
      </c>
      <c r="I143" s="7">
        <f t="shared" si="41"/>
        <v>284.95454545454544</v>
      </c>
      <c r="J143" s="24">
        <v>0</v>
      </c>
      <c r="K143" s="24">
        <f t="shared" si="40"/>
        <v>1</v>
      </c>
      <c r="M143" s="7">
        <f t="shared" si="42"/>
        <v>25845.06</v>
      </c>
      <c r="N143" s="7">
        <f t="shared" si="43"/>
        <v>72</v>
      </c>
      <c r="O143" s="7">
        <f t="shared" si="44"/>
        <v>358.9591666666667</v>
      </c>
      <c r="P143" s="10">
        <f t="shared" si="45"/>
        <v>0.64175274868170362</v>
      </c>
    </row>
    <row r="144" spans="1:16" customFormat="1" ht="15" thickBot="1" x14ac:dyDescent="0.4">
      <c r="A144">
        <v>2021</v>
      </c>
      <c r="B144" s="7">
        <f>SUM(B132:B143)</f>
        <v>202705.91144187999</v>
      </c>
      <c r="C144" s="7">
        <f>SUM(C132:C143)</f>
        <v>551</v>
      </c>
      <c r="D144" s="7">
        <f t="shared" si="38"/>
        <v>367.88731659143372</v>
      </c>
      <c r="G144" s="7">
        <f>SUM(G132:G143)</f>
        <v>46293.269</v>
      </c>
      <c r="H144" s="7">
        <f>SUM(H132:H143)</f>
        <v>115</v>
      </c>
      <c r="I144" s="7">
        <f t="shared" ref="I144" si="47">G144/H144</f>
        <v>402.55016521739128</v>
      </c>
      <c r="M144" s="17">
        <f>SUM(M132:M143)</f>
        <v>248999.18044187999</v>
      </c>
      <c r="N144" s="17">
        <f>SUM(N132:N143)</f>
        <v>666</v>
      </c>
      <c r="O144" s="17">
        <f t="shared" ref="O144" si="48">M144/N144</f>
        <v>373.87264330612612</v>
      </c>
    </row>
    <row r="145" spans="1:1" x14ac:dyDescent="0.35">
      <c r="A145" s="13"/>
    </row>
    <row r="146" spans="1:1" x14ac:dyDescent="0.35">
      <c r="A146" s="13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C6CD-9BD5-4497-8C2A-55BB524D6FEC}">
  <dimension ref="C3:N16"/>
  <sheetViews>
    <sheetView showGridLines="0" workbookViewId="0">
      <selection activeCell="K24" sqref="K24"/>
    </sheetView>
  </sheetViews>
  <sheetFormatPr defaultRowHeight="14.5" x14ac:dyDescent="0.35"/>
  <cols>
    <col min="4" max="4" width="11" bestFit="1" customWidth="1"/>
    <col min="5" max="5" width="14.54296875" bestFit="1" customWidth="1"/>
    <col min="6" max="6" width="11" bestFit="1" customWidth="1"/>
    <col min="7" max="7" width="13.54296875" bestFit="1" customWidth="1"/>
    <col min="8" max="8" width="11" customWidth="1"/>
    <col min="9" max="9" width="14.54296875" bestFit="1" customWidth="1"/>
    <col min="12" max="12" width="10.81640625" bestFit="1" customWidth="1"/>
  </cols>
  <sheetData>
    <row r="3" spans="3:14" x14ac:dyDescent="0.35">
      <c r="C3" s="28"/>
      <c r="D3" s="41" t="s">
        <v>346</v>
      </c>
      <c r="E3" s="42"/>
      <c r="F3" s="41" t="s">
        <v>233</v>
      </c>
      <c r="G3" s="42"/>
      <c r="H3" s="41" t="s">
        <v>354</v>
      </c>
      <c r="I3" s="43"/>
    </row>
    <row r="4" spans="3:14" x14ac:dyDescent="0.35">
      <c r="C4" s="28" t="s">
        <v>355</v>
      </c>
      <c r="D4" s="29" t="s">
        <v>356</v>
      </c>
      <c r="E4" s="30" t="s">
        <v>357</v>
      </c>
      <c r="F4" s="29" t="s">
        <v>356</v>
      </c>
      <c r="G4" s="30" t="s">
        <v>357</v>
      </c>
      <c r="H4" s="28" t="s">
        <v>356</v>
      </c>
      <c r="I4" s="28" t="s">
        <v>357</v>
      </c>
    </row>
    <row r="5" spans="3:14" x14ac:dyDescent="0.35">
      <c r="C5" s="2">
        <v>2011</v>
      </c>
      <c r="D5" s="31" cm="1">
        <f t="array" ref="D5">COUNTIFS(Base!$A:$A,'Tabela Resumo'!$C5,Base!$F:$F,'Tabela Resumo'!$D$3:$D$3)</f>
        <v>22</v>
      </c>
      <c r="E5" s="32" cm="1">
        <f t="array" ref="E5">SUMIFS(Base!$M:$M,Base!$A:$A,'Tabela Resumo'!$C5,Base!$F:$F,'Tabela Resumo'!$D$3:$D$3)/1000</f>
        <v>10.625876286880001</v>
      </c>
      <c r="F5" s="31">
        <f>COUNTIFS(Base!$A:$A,'Tabela Resumo'!$C5,Base!$F:$F,'Tabela Resumo'!$F$3)</f>
        <v>11</v>
      </c>
      <c r="G5" s="32">
        <f>SUMIFS(Base!$M:$M,Base!$A:$A,'Tabela Resumo'!$C5,Base!$F:$F,'Tabela Resumo'!$F$3)/1000</f>
        <v>37.361070000000005</v>
      </c>
      <c r="H5" s="34">
        <f>SUM(D5,F5)</f>
        <v>33</v>
      </c>
      <c r="I5" s="35">
        <f>SUM(E5,G5)</f>
        <v>47.986946286880006</v>
      </c>
    </row>
    <row r="6" spans="3:14" x14ac:dyDescent="0.35">
      <c r="C6" s="2">
        <f>+C5+1</f>
        <v>2012</v>
      </c>
      <c r="D6" s="33" cm="1">
        <f t="array" ref="D6">COUNTIFS(Base!$A:$A,'Tabela Resumo'!$C6,Base!$F:$F,'Tabela Resumo'!$D$3:$D$3)</f>
        <v>30</v>
      </c>
      <c r="E6" s="32" cm="1">
        <f t="array" ref="E6">SUMIFS(Base!$M:$M,Base!$A:$A,'Tabela Resumo'!$C6,Base!$F:$F,'Tabela Resumo'!$D$3:$D$3)/1000</f>
        <v>17.949450000000002</v>
      </c>
      <c r="F6" s="33">
        <f>COUNTIFS(Base!$A:$A,'Tabela Resumo'!$C6,Base!$F:$F,'Tabela Resumo'!$F$3)</f>
        <v>16</v>
      </c>
      <c r="G6" s="32">
        <f>SUMIFS(Base!$M:$M,Base!$A:$A,'Tabela Resumo'!$C6,Base!$F:$F,'Tabela Resumo'!$F$3)/1000</f>
        <v>33.120722499999999</v>
      </c>
      <c r="H6" s="34">
        <f t="shared" ref="H6:I15" si="0">SUM(D6,F6)</f>
        <v>46</v>
      </c>
      <c r="I6" s="35">
        <f t="shared" si="0"/>
        <v>51.070172499999998</v>
      </c>
    </row>
    <row r="7" spans="3:14" x14ac:dyDescent="0.35">
      <c r="C7" s="2">
        <f t="shared" ref="C7:C15" si="1">+C6+1</f>
        <v>2013</v>
      </c>
      <c r="D7" s="33" cm="1">
        <f t="array" ref="D7">COUNTIFS(Base!$A:$A,'Tabela Resumo'!$C7,Base!$F:$F,'Tabela Resumo'!$D$3:$D$3)</f>
        <v>30</v>
      </c>
      <c r="E7" s="32" cm="1">
        <f t="array" ref="E7">SUMIFS(Base!$M:$M,Base!$A:$A,'Tabela Resumo'!$C7,Base!$F:$F,'Tabela Resumo'!$D$3:$D$3)/1000</f>
        <v>12.706</v>
      </c>
      <c r="F7" s="33">
        <f>COUNTIFS(Base!$A:$A,'Tabela Resumo'!$C7,Base!$F:$F,'Tabela Resumo'!$F$3)</f>
        <v>9</v>
      </c>
      <c r="G7" s="32" t="e">
        <f>SUMIFS(Base!$M:$M,Base!$A:$A,'Tabela Resumo'!$C7,Base!$F:$F,'Tabela Resumo'!$F$3)/1000</f>
        <v>#N/A</v>
      </c>
      <c r="H7" s="34">
        <f t="shared" si="0"/>
        <v>39</v>
      </c>
      <c r="I7" s="35" t="e">
        <f t="shared" si="0"/>
        <v>#N/A</v>
      </c>
    </row>
    <row r="8" spans="3:14" x14ac:dyDescent="0.35">
      <c r="C8" s="2">
        <f t="shared" si="1"/>
        <v>2014</v>
      </c>
      <c r="D8" s="33" cm="1">
        <f t="array" ref="D8">COUNTIFS(Base!$A:$A,'Tabela Resumo'!$C8,Base!$F:$F,'Tabela Resumo'!$D$3:$D$3)</f>
        <v>33</v>
      </c>
      <c r="E8" s="32" cm="1">
        <f t="array" ref="E8">SUMIFS(Base!$M:$M,Base!$A:$A,'Tabela Resumo'!$C8,Base!$F:$F,'Tabela Resumo'!$D$3:$D$3)/1000</f>
        <v>10.958232000000001</v>
      </c>
      <c r="F8" s="33">
        <f>COUNTIFS(Base!$A:$A,'Tabela Resumo'!$C8,Base!$F:$F,'Tabela Resumo'!$F$3)</f>
        <v>15</v>
      </c>
      <c r="G8" s="32">
        <f>SUMIFS(Base!$M:$M,Base!$A:$A,'Tabela Resumo'!$C8,Base!$F:$F,'Tabela Resumo'!$F$3)/1000</f>
        <v>44.489752500000002</v>
      </c>
      <c r="H8" s="34">
        <f t="shared" si="0"/>
        <v>48</v>
      </c>
      <c r="I8" s="35">
        <f t="shared" si="0"/>
        <v>55.447984500000004</v>
      </c>
      <c r="N8" s="40"/>
    </row>
    <row r="9" spans="3:14" x14ac:dyDescent="0.35">
      <c r="C9" s="2">
        <f t="shared" si="1"/>
        <v>2015</v>
      </c>
      <c r="D9" s="33" cm="1">
        <f t="array" ref="D9">COUNTIFS(Base!$A:$A,'Tabela Resumo'!$C9,Base!$F:$F,'Tabela Resumo'!$D$3:$D$3)</f>
        <v>16</v>
      </c>
      <c r="E9" s="32" cm="1">
        <f t="array" ref="E9">SUMIFS(Base!$M:$M,Base!$A:$A,'Tabela Resumo'!$C9,Base!$F:$F,'Tabela Resumo'!$D$3:$D$3)/1000</f>
        <v>13.965</v>
      </c>
      <c r="F9" s="33">
        <f>COUNTIFS(Base!$A:$A,'Tabela Resumo'!$C9,Base!$F:$F,'Tabela Resumo'!$F$3)</f>
        <v>0</v>
      </c>
      <c r="G9" s="32">
        <f>SUMIFS(Base!$M:$M,Base!$A:$A,'Tabela Resumo'!$C9,Base!$F:$F,'Tabela Resumo'!$F$3)/1000</f>
        <v>0</v>
      </c>
      <c r="H9" s="34">
        <f t="shared" si="0"/>
        <v>16</v>
      </c>
      <c r="I9" s="35">
        <f t="shared" si="0"/>
        <v>13.965</v>
      </c>
    </row>
    <row r="10" spans="3:14" x14ac:dyDescent="0.35">
      <c r="C10" s="2">
        <f t="shared" si="1"/>
        <v>2016</v>
      </c>
      <c r="D10" s="33" cm="1">
        <f t="array" ref="D10">COUNTIFS(Base!$A:$A,'Tabela Resumo'!$C10,Base!$F:$F,'Tabela Resumo'!$D$3:$D$3)</f>
        <v>13</v>
      </c>
      <c r="E10" s="32" cm="1">
        <f t="array" ref="E10">SUMIFS(Base!$M:$M,Base!$A:$A,'Tabela Resumo'!$C10,Base!$F:$F,'Tabela Resumo'!$D$3:$D$3)/1000</f>
        <v>5.5140000000000002</v>
      </c>
      <c r="F10" s="33">
        <f>COUNTIFS(Base!$A:$A,'Tabela Resumo'!$C10,Base!$F:$F,'Tabela Resumo'!$F$3)</f>
        <v>12</v>
      </c>
      <c r="G10" s="32" t="e">
        <f>SUMIFS(Base!$M:$M,Base!$A:$A,'Tabela Resumo'!$C10,Base!$F:$F,'Tabela Resumo'!$F$3)/1000</f>
        <v>#N/A</v>
      </c>
      <c r="H10" s="34">
        <f t="shared" si="0"/>
        <v>25</v>
      </c>
      <c r="I10" s="35" t="e">
        <f t="shared" si="0"/>
        <v>#N/A</v>
      </c>
    </row>
    <row r="11" spans="3:14" x14ac:dyDescent="0.35">
      <c r="C11" s="2">
        <f t="shared" si="1"/>
        <v>2017</v>
      </c>
      <c r="D11" s="33" cm="1">
        <f t="array" ref="D11">COUNTIFS(Base!$A:$A,'Tabela Resumo'!$C11,Base!$F:$F,'Tabela Resumo'!$D$3:$D$3)</f>
        <v>24</v>
      </c>
      <c r="E11" s="32" cm="1">
        <f t="array" ref="E11">SUMIFS(Base!$M:$M,Base!$A:$A,'Tabela Resumo'!$C11,Base!$F:$F,'Tabela Resumo'!$D$3:$D$3)/1000</f>
        <v>14.787483000000002</v>
      </c>
      <c r="F11" s="33">
        <f>COUNTIFS(Base!$A:$A,'Tabela Resumo'!$C11,Base!$F:$F,'Tabela Resumo'!$F$3)</f>
        <v>22</v>
      </c>
      <c r="G11" s="32" t="e">
        <f>SUMIFS(Base!$M:$M,Base!$A:$A,'Tabela Resumo'!$C11,Base!$F:$F,'Tabela Resumo'!$F$3)/1000</f>
        <v>#N/A</v>
      </c>
      <c r="H11" s="34">
        <f t="shared" si="0"/>
        <v>46</v>
      </c>
      <c r="I11" s="35" t="e">
        <f t="shared" si="0"/>
        <v>#N/A</v>
      </c>
    </row>
    <row r="12" spans="3:14" x14ac:dyDescent="0.35">
      <c r="C12" s="2">
        <f t="shared" si="1"/>
        <v>2018</v>
      </c>
      <c r="D12" s="33" cm="1">
        <f t="array" ref="D12">COUNTIFS(Base!$A:$A,'Tabela Resumo'!$C12,Base!$F:$F,'Tabela Resumo'!$D$3:$D$3)</f>
        <v>33</v>
      </c>
      <c r="E12" s="32" cm="1">
        <f t="array" ref="E12">SUMIFS(Base!$M:$M,Base!$A:$A,'Tabela Resumo'!$C12,Base!$F:$F,'Tabela Resumo'!$D$3:$D$3)/1000</f>
        <v>23.580420640427</v>
      </c>
      <c r="F12" s="33">
        <f>COUNTIFS(Base!$A:$A,'Tabela Resumo'!$C12,Base!$F:$F,'Tabela Resumo'!$F$3)</f>
        <v>14</v>
      </c>
      <c r="G12" s="32" t="e">
        <f>SUMIFS(Base!$M:$M,Base!$A:$A,'Tabela Resumo'!$C12,Base!$F:$F,'Tabela Resumo'!$F$3)/1000</f>
        <v>#N/A</v>
      </c>
      <c r="H12" s="34">
        <f t="shared" si="0"/>
        <v>47</v>
      </c>
      <c r="I12" s="35" t="e">
        <f t="shared" si="0"/>
        <v>#N/A</v>
      </c>
    </row>
    <row r="13" spans="3:14" x14ac:dyDescent="0.35">
      <c r="C13" s="2">
        <f t="shared" si="1"/>
        <v>2019</v>
      </c>
      <c r="D13" s="33" cm="1">
        <f t="array" ref="D13">COUNTIFS(Base!$A:$A,'Tabela Resumo'!$C13,Base!$F:$F,'Tabela Resumo'!$D$3:$D$3)</f>
        <v>58</v>
      </c>
      <c r="E13" s="32" cm="1">
        <f t="array" ref="E13">SUMIFS(Base!$M:$M,Base!$A:$A,'Tabela Resumo'!$C13,Base!$F:$F,'Tabela Resumo'!$D$3:$D$3)/1000</f>
        <v>46.702574999999996</v>
      </c>
      <c r="F13" s="33">
        <f>COUNTIFS(Base!$A:$A,'Tabela Resumo'!$C13,Base!$F:$F,'Tabela Resumo'!$F$3)</f>
        <v>22</v>
      </c>
      <c r="G13" s="32">
        <f>SUMIFS(Base!$M:$M,Base!$A:$A,'Tabela Resumo'!$C13,Base!$F:$F,'Tabela Resumo'!$F$3)/1000</f>
        <v>63.745779837400008</v>
      </c>
      <c r="H13" s="34">
        <f t="shared" si="0"/>
        <v>80</v>
      </c>
      <c r="I13" s="35">
        <f t="shared" si="0"/>
        <v>110.4483548374</v>
      </c>
    </row>
    <row r="14" spans="3:14" x14ac:dyDescent="0.35">
      <c r="C14" s="2">
        <f t="shared" si="1"/>
        <v>2020</v>
      </c>
      <c r="D14" s="33" cm="1">
        <f t="array" ref="D14">COUNTIFS(Base!$A:$A,'Tabela Resumo'!$C14,Base!$F:$F,'Tabela Resumo'!$D$3:$D$3)</f>
        <v>48</v>
      </c>
      <c r="E14" s="32" cm="1">
        <f t="array" ref="E14">SUMIFS(Base!$M:$M,Base!$A:$A,'Tabela Resumo'!$C14,Base!$F:$F,'Tabela Resumo'!$D$3:$D$3)/1000</f>
        <v>28.861345999999998</v>
      </c>
      <c r="F14" s="33">
        <f>COUNTIFS(Base!$A:$A,'Tabela Resumo'!$C14,Base!$F:$F,'Tabela Resumo'!$F$3)</f>
        <v>20</v>
      </c>
      <c r="G14" s="32" t="e">
        <f>SUMIFS(Base!$M:$M,Base!$A:$A,'Tabela Resumo'!$C14,Base!$F:$F,'Tabela Resumo'!$F$3)/1000</f>
        <v>#N/A</v>
      </c>
      <c r="H14" s="34">
        <f t="shared" si="0"/>
        <v>68</v>
      </c>
      <c r="I14" s="35" t="e">
        <f t="shared" si="0"/>
        <v>#N/A</v>
      </c>
    </row>
    <row r="15" spans="3:14" x14ac:dyDescent="0.35">
      <c r="C15" s="28">
        <f t="shared" si="1"/>
        <v>2021</v>
      </c>
      <c r="D15" s="36" cm="1">
        <f t="array" ref="D15">COUNTIFS(Base!$A:$A,'Tabela Resumo'!$C15,Base!$F:$F,'Tabela Resumo'!$D$3:$D$3)</f>
        <v>46</v>
      </c>
      <c r="E15" s="37" cm="1">
        <f t="array" ref="E15">SUMIFS(Base!$M:$M,Base!$A:$A,'Tabela Resumo'!$C15,Base!$F:$F,'Tabela Resumo'!$D$3:$D$3)/1000</f>
        <v>21.322031999999997</v>
      </c>
      <c r="F15" s="36">
        <f>COUNTIFS(Base!$A:$A,'Tabela Resumo'!$C15,Base!$F:$F,'Tabela Resumo'!$F$3)</f>
        <v>19</v>
      </c>
      <c r="G15" s="37" t="e">
        <f>SUMIFS(Base!$M:$M,Base!$A:$A,'Tabela Resumo'!$C15,Base!$F:$F,'Tabela Resumo'!$F$3)/1000</f>
        <v>#N/A</v>
      </c>
      <c r="H15" s="38">
        <f t="shared" si="0"/>
        <v>65</v>
      </c>
      <c r="I15" s="39" t="e">
        <f t="shared" si="0"/>
        <v>#N/A</v>
      </c>
    </row>
    <row r="16" spans="3:14" x14ac:dyDescent="0.35">
      <c r="C16" s="2" t="s">
        <v>354</v>
      </c>
      <c r="D16" s="33">
        <f>SUM(D5:D15)</f>
        <v>353</v>
      </c>
      <c r="E16" s="32">
        <f t="shared" ref="E16:I16" si="2">SUM(E5:E15)</f>
        <v>206.972414927307</v>
      </c>
      <c r="F16" s="33">
        <f t="shared" si="2"/>
        <v>160</v>
      </c>
      <c r="G16" s="32" t="e">
        <f t="shared" si="2"/>
        <v>#N/A</v>
      </c>
      <c r="H16" s="34">
        <f t="shared" si="2"/>
        <v>513</v>
      </c>
      <c r="I16" s="35" t="e">
        <f t="shared" si="2"/>
        <v>#N/A</v>
      </c>
    </row>
  </sheetData>
  <mergeCells count="3">
    <mergeCell ref="D3:E3"/>
    <mergeCell ref="F3:G3"/>
    <mergeCell ref="H3:I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</vt:lpstr>
      <vt:lpstr>Ratings</vt:lpstr>
      <vt:lpstr>Dólar Spot</vt:lpstr>
      <vt:lpstr>Bonds ANBIMA</vt:lpstr>
      <vt:lpstr>Debêntures ANBIMA</vt:lpstr>
      <vt:lpstr>Tabela 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Bellodi</dc:creator>
  <cp:lastModifiedBy>Vinicius Camargo</cp:lastModifiedBy>
  <dcterms:created xsi:type="dcterms:W3CDTF">2023-04-11T23:36:56Z</dcterms:created>
  <dcterms:modified xsi:type="dcterms:W3CDTF">2023-04-28T13:38:07Z</dcterms:modified>
</cp:coreProperties>
</file>